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tabRatio="813" activeTab="1"/>
  </bookViews>
  <sheets>
    <sheet name="PREENCHER" sheetId="1" r:id="rId1"/>
    <sheet name="DECLARAÇÃO" sheetId="2" r:id="rId2"/>
  </sheets>
  <definedNames>
    <definedName name="_xlnm.Print_Area" localSheetId="1">'DECLARAÇÃO'!$A$1:$J$43</definedName>
    <definedName name="BASEDECALCULO">'PREENCHER'!$L$22:$M$22</definedName>
    <definedName name="BCALC">#REF!</definedName>
    <definedName name="CREACAU">'PREENCHER'!$H$14:$I$14</definedName>
    <definedName name="ENC">#REF!</definedName>
    <definedName name="ENCARGOS">'PREENCHER'!$L$19:$M$19</definedName>
    <definedName name="ente">'PREENCHER'!$H$5:$I$5</definedName>
    <definedName name="regime">'PREENCHER'!$G$19:$H$19</definedName>
  </definedNames>
  <calcPr fullCalcOnLoad="1"/>
</workbook>
</file>

<file path=xl/sharedStrings.xml><?xml version="1.0" encoding="utf-8"?>
<sst xmlns="http://schemas.openxmlformats.org/spreadsheetml/2006/main" count="187" uniqueCount="115">
  <si>
    <t>ADM CENTRAL</t>
  </si>
  <si>
    <t>SEGURO E GARANTIA</t>
  </si>
  <si>
    <t>RISCO</t>
  </si>
  <si>
    <t>DESP. FINANCEIRAS</t>
  </si>
  <si>
    <t>LUCRO</t>
  </si>
  <si>
    <t>MÁX</t>
  </si>
  <si>
    <t>conf. Legislação</t>
  </si>
  <si>
    <t>BDI Desonerado:</t>
  </si>
  <si>
    <t>Adotado</t>
  </si>
  <si>
    <t>Itens</t>
  </si>
  <si>
    <t>AC</t>
  </si>
  <si>
    <t>S+G</t>
  </si>
  <si>
    <t>R</t>
  </si>
  <si>
    <t>DF</t>
  </si>
  <si>
    <t>L</t>
  </si>
  <si>
    <t>I</t>
  </si>
  <si>
    <t>(1 - I)</t>
  </si>
  <si>
    <t>BDI =</t>
  </si>
  <si>
    <t>(1 + AC + S + G + R) * (1 + DF) * (1 + L)</t>
  </si>
  <si>
    <t>Fórmula do BDI</t>
  </si>
  <si>
    <t>Cálculo do BDI conforme Acórdão 2622/2013 TCU</t>
  </si>
  <si>
    <t>BDI Resultante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</si>
  <si>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</si>
  <si>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</si>
  <si>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</si>
  <si>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</si>
  <si>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</si>
  <si>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</si>
  <si>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</si>
  <si>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</si>
  <si>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</si>
  <si>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</si>
  <si>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1 - Construção de Edifícios</t>
  </si>
  <si>
    <t>2 - Construção de Rodovias e Ferrovias</t>
  </si>
  <si>
    <t>3 - Construção de Redes de Abastecimento de Água, Coleta de Esgoto e Construções Correlatas</t>
  </si>
  <si>
    <t>4 - Construção e Manutenção de Estações e Redes de Distribuição de Energia Elétrica</t>
  </si>
  <si>
    <t>5 - Obras Portuárias, Marítimas e Fluviais</t>
  </si>
  <si>
    <t>6 - Fornecimento de Materiais e Equipamentos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</si>
  <si>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</si>
  <si>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</si>
  <si>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</si>
  <si>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</si>
  <si>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</si>
  <si>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</si>
  <si>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</si>
  <si>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</si>
  <si>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</si>
  <si>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</si>
  <si>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</si>
  <si>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</si>
  <si>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</si>
  <si>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</si>
  <si>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</si>
  <si>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</si>
  <si>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</si>
  <si>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</si>
  <si>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</si>
  <si>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</si>
  <si>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MIN</t>
  </si>
  <si>
    <t>1f</t>
  </si>
  <si>
    <t>2f</t>
  </si>
  <si>
    <t>3f</t>
  </si>
  <si>
    <t>4f</t>
  </si>
  <si>
    <t>5f</t>
  </si>
  <si>
    <t>6f</t>
  </si>
  <si>
    <t>SELECIONE O
TIPO DE OBRA:</t>
  </si>
  <si>
    <t>MÍN</t>
  </si>
  <si>
    <t>IMPOSTOS (Onerado)</t>
  </si>
  <si>
    <t>COFINS</t>
  </si>
  <si>
    <t>PIS</t>
  </si>
  <si>
    <t>IMPOSTOS (Desonerado)</t>
  </si>
  <si>
    <t>%</t>
  </si>
  <si>
    <t>valor total da obra</t>
  </si>
  <si>
    <t>desonerados</t>
  </si>
  <si>
    <t>CPRB</t>
  </si>
  <si>
    <t>valor da mão de obra</t>
  </si>
  <si>
    <t>sem desoneração</t>
  </si>
  <si>
    <t>Composição analítica do BDI (conforme Acórdão 2622/2013 TCU)</t>
  </si>
  <si>
    <t>TIPO DE OBRA:</t>
  </si>
  <si>
    <t>CPRB (p/ desonerado)</t>
  </si>
  <si>
    <t>Nº contrato:</t>
  </si>
  <si>
    <t>Objeto:</t>
  </si>
  <si>
    <t>Encargos :</t>
  </si>
  <si>
    <t>Nome orçamentista:</t>
  </si>
  <si>
    <t>CREA nº</t>
  </si>
  <si>
    <t xml:space="preserve">CREA nº </t>
  </si>
  <si>
    <t xml:space="preserve">CAU nº </t>
  </si>
  <si>
    <t>Declaração</t>
  </si>
  <si>
    <t xml:space="preserve"> DESP. FINANCEIRAS</t>
  </si>
  <si>
    <t>% de Mão de Obra (em relação ao valor total da obra):</t>
  </si>
  <si>
    <t>Base de cálculo ISSQN:</t>
  </si>
  <si>
    <t>* IMPORTANTE: Esta planilha foi desenvolvida para abranger às situações mais comuns. Poderá haver situações em que este modelo não se aplica. Não é obrigatório o uso desta planilha.</t>
  </si>
  <si>
    <t>Alíquota ISSQN:</t>
  </si>
  <si>
    <t>ISSQN (Aliquota x %Base de cálculo)</t>
  </si>
  <si>
    <t>* O BDI máximo pode ser ultrapassado nos casos em que a empresa vencedora da licitação se enquadre na desoneração (conforme Medida Provisória 601/2012). Neste caso, após definir o BDI "sem desoneração" respeitando os limites das tabelas acima, o cálculo do BDI "desonerado" é feito acrescentando 2% ao item "I - PIS, COFINS e ISSQN", sem alterar as demais parcelas da fórmula.</t>
  </si>
  <si>
    <t>ISSQN (Alíquota x %Base de cálculo)</t>
  </si>
  <si>
    <t>IMPORTANTE: Se o percentual total do BDI exceder o máximo previsto pelo Acórdão 2622/20013, o detalhamento do BDI deve ser acompanhado de relatório técnico circunstanciado, justificando a adoção do percentual adotado para cada parcela do BDI, assinado pelo profissional responsável técnico do orçamento, usando como diretriz os percentuais máximos e mínimos previstos para cada item.</t>
  </si>
  <si>
    <t>Empresa</t>
  </si>
  <si>
    <t>Prefeitura Municipal de</t>
  </si>
  <si>
    <t>Tomador/Empresa:</t>
  </si>
  <si>
    <t>empreitada por preço global</t>
  </si>
  <si>
    <t>empreitada por preço unitário</t>
  </si>
  <si>
    <t>Regime de execução:</t>
  </si>
  <si>
    <t>Nome do prefeito</t>
  </si>
  <si>
    <t>CPF do prefeito</t>
  </si>
  <si>
    <t>NÃO É NECESSÁRIO IMPRIMIR ESTA ABA</t>
  </si>
  <si>
    <t>PREENCHA OS CAMPOS EM AMARELO E IMPRIMA A ABA "DECLARAÇÃO"</t>
  </si>
  <si>
    <t>Município:</t>
  </si>
  <si>
    <t>Data:</t>
  </si>
  <si>
    <t>Samir Marcos Battisti</t>
  </si>
  <si>
    <t>104081-D-RS</t>
  </si>
  <si>
    <t>Pavimentação de vias urbanas</t>
  </si>
  <si>
    <t>Mato Leitão</t>
  </si>
  <si>
    <t>Carlos Alberto Bohn</t>
  </si>
  <si>
    <t>320.794.510-49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</si>
</sst>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%"/>
    <numFmt numFmtId="191" formatCode="0.00\ &quot;%&quot;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0.0"/>
    <numFmt numFmtId="197" formatCode="0.000\ &quot;%&quot;"/>
    <numFmt numFmtId="198" formatCode="0.0000\ &quot;%&quot;"/>
    <numFmt numFmtId="199" formatCode="0.00000\ &quot;%&quot;"/>
    <numFmt numFmtId="200" formatCode="&quot;Ativado&quot;;&quot;Ativado&quot;;&quot;Desativado&quot;"/>
    <numFmt numFmtId="201" formatCode="[$-416]dddd\,\ d&quot; de &quot;mmmm&quot; de &quot;yyyy"/>
    <numFmt numFmtId="202" formatCode="[$-F800]dddd\,\ mmmm\ dd\,\ yyyy"/>
  </numFmts>
  <fonts count="5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191" fontId="0" fillId="34" borderId="12" xfId="0" applyNumberFormat="1" applyFill="1" applyBorder="1" applyAlignment="1" applyProtection="1">
      <alignment horizontal="center"/>
      <protection/>
    </xf>
    <xf numFmtId="191" fontId="0" fillId="36" borderId="12" xfId="49" applyNumberForma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91" fontId="3" fillId="34" borderId="13" xfId="49" applyNumberFormat="1" applyFont="1" applyFill="1" applyBorder="1" applyAlignment="1" applyProtection="1">
      <alignment horizontal="center"/>
      <protection/>
    </xf>
    <xf numFmtId="191" fontId="3" fillId="34" borderId="12" xfId="49" applyNumberFormat="1" applyFont="1" applyFill="1" applyBorder="1" applyAlignment="1" applyProtection="1">
      <alignment horizontal="center"/>
      <protection/>
    </xf>
    <xf numFmtId="2" fontId="7" fillId="34" borderId="0" xfId="0" applyNumberFormat="1" applyFont="1" applyFill="1" applyAlignment="1" applyProtection="1">
      <alignment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2" fontId="0" fillId="34" borderId="0" xfId="0" applyNumberFormat="1" applyFill="1" applyAlignment="1" applyProtection="1">
      <alignment horizontal="center"/>
      <protection/>
    </xf>
    <xf numFmtId="9" fontId="18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0" fillId="34" borderId="16" xfId="0" applyFill="1" applyBorder="1" applyAlignment="1" applyProtection="1">
      <alignment horizontal="left" indent="1"/>
      <protection/>
    </xf>
    <xf numFmtId="0" fontId="0" fillId="34" borderId="0" xfId="0" applyFont="1" applyFill="1" applyAlignment="1" applyProtection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 horizontal="left" indent="1"/>
      <protection/>
    </xf>
    <xf numFmtId="0" fontId="0" fillId="34" borderId="18" xfId="0" applyFill="1" applyBorder="1" applyAlignment="1" applyProtection="1">
      <alignment/>
      <protection/>
    </xf>
    <xf numFmtId="191" fontId="0" fillId="34" borderId="13" xfId="49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177" fontId="0" fillId="36" borderId="13" xfId="60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justify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191" fontId="8" fillId="36" borderId="12" xfId="49" applyNumberFormat="1" applyFont="1" applyFill="1" applyBorder="1" applyAlignment="1" applyProtection="1">
      <alignment horizontal="center"/>
      <protection/>
    </xf>
    <xf numFmtId="191" fontId="8" fillId="34" borderId="12" xfId="0" applyNumberFormat="1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191" fontId="8" fillId="34" borderId="12" xfId="49" applyNumberFormat="1" applyFont="1" applyFill="1" applyBorder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top"/>
      <protection/>
    </xf>
    <xf numFmtId="191" fontId="14" fillId="34" borderId="21" xfId="49" applyNumberFormat="1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191" fontId="0" fillId="36" borderId="12" xfId="49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left" indent="2"/>
      <protection/>
    </xf>
    <xf numFmtId="191" fontId="3" fillId="34" borderId="0" xfId="49" applyNumberFormat="1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91" fontId="0" fillId="36" borderId="13" xfId="49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center" wrapText="1"/>
    </xf>
    <xf numFmtId="0" fontId="0" fillId="34" borderId="20" xfId="0" applyFill="1" applyBorder="1" applyAlignment="1" applyProtection="1">
      <alignment horizontal="center" vertical="top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justify" vertical="top" wrapText="1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justify" vertical="top" wrapText="1"/>
      <protection/>
    </xf>
    <xf numFmtId="0" fontId="5" fillId="34" borderId="12" xfId="0" applyFont="1" applyFill="1" applyBorder="1" applyAlignment="1" applyProtection="1">
      <alignment horizontal="left" indent="2"/>
      <protection/>
    </xf>
    <xf numFmtId="0" fontId="0" fillId="34" borderId="29" xfId="0" applyFill="1" applyBorder="1" applyAlignment="1" applyProtection="1">
      <alignment horizontal="left" vertical="center"/>
      <protection/>
    </xf>
    <xf numFmtId="0" fontId="0" fillId="34" borderId="30" xfId="0" applyFill="1" applyBorder="1" applyAlignment="1" applyProtection="1">
      <alignment horizontal="left" vertical="center"/>
      <protection/>
    </xf>
    <xf numFmtId="0" fontId="0" fillId="34" borderId="22" xfId="0" applyFont="1" applyFill="1" applyBorder="1" applyAlignment="1" applyProtection="1">
      <alignment horizontal="left" indent="1"/>
      <protection/>
    </xf>
    <xf numFmtId="0" fontId="0" fillId="34" borderId="31" xfId="0" applyFont="1" applyFill="1" applyBorder="1" applyAlignment="1" applyProtection="1">
      <alignment horizontal="left" indent="1"/>
      <protection/>
    </xf>
    <xf numFmtId="0" fontId="0" fillId="34" borderId="23" xfId="0" applyFont="1" applyFill="1" applyBorder="1" applyAlignment="1" applyProtection="1">
      <alignment horizontal="left" indent="1"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15" xfId="0" applyFill="1" applyBorder="1" applyAlignment="1" applyProtection="1">
      <alignment horizontal="left" indent="1"/>
      <protection/>
    </xf>
    <xf numFmtId="0" fontId="0" fillId="34" borderId="33" xfId="0" applyFill="1" applyBorder="1" applyAlignment="1" applyProtection="1">
      <alignment horizontal="left" indent="1"/>
      <protection/>
    </xf>
    <xf numFmtId="0" fontId="0" fillId="34" borderId="32" xfId="0" applyFill="1" applyBorder="1" applyAlignment="1" applyProtection="1">
      <alignment horizontal="left" indent="1"/>
      <protection/>
    </xf>
    <xf numFmtId="0" fontId="0" fillId="34" borderId="34" xfId="0" applyFill="1" applyBorder="1" applyAlignment="1" applyProtection="1">
      <alignment horizontal="left" indent="1"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7" xfId="0" applyFill="1" applyBorder="1" applyAlignment="1" applyProtection="1">
      <alignment horizontal="left" indent="1"/>
      <protection/>
    </xf>
    <xf numFmtId="0" fontId="1" fillId="35" borderId="35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36" xfId="0" applyFont="1" applyFill="1" applyBorder="1" applyAlignment="1" applyProtection="1">
      <alignment horizontal="center"/>
      <protection/>
    </xf>
    <xf numFmtId="0" fontId="1" fillId="35" borderId="37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0" fontId="0" fillId="36" borderId="13" xfId="0" applyFont="1" applyFill="1" applyBorder="1" applyAlignment="1" applyProtection="1">
      <alignment/>
      <protection locked="0"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left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 horizontal="left"/>
      <protection locked="0"/>
    </xf>
    <xf numFmtId="14" fontId="0" fillId="36" borderId="14" xfId="0" applyNumberFormat="1" applyFont="1" applyFill="1" applyBorder="1" applyAlignment="1" applyProtection="1">
      <alignment horizontal="left"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0" fontId="12" fillId="33" borderId="37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left" indent="1"/>
      <protection/>
    </xf>
    <xf numFmtId="0" fontId="8" fillId="34" borderId="18" xfId="0" applyFont="1" applyFill="1" applyBorder="1" applyAlignment="1" applyProtection="1">
      <alignment horizontal="left" indent="1"/>
      <protection/>
    </xf>
    <xf numFmtId="0" fontId="16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36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Alignment="1" applyProtection="1">
      <alignment horizontal="justify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36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31" xfId="0" applyFont="1" applyFill="1" applyBorder="1" applyAlignment="1" applyProtection="1">
      <alignment horizontal="center"/>
      <protection/>
    </xf>
    <xf numFmtId="14" fontId="8" fillId="34" borderId="0" xfId="0" applyNumberFormat="1" applyFont="1" applyFill="1" applyAlignment="1" applyProtection="1">
      <alignment horizontal="right"/>
      <protection/>
    </xf>
    <xf numFmtId="0" fontId="15" fillId="34" borderId="0" xfId="0" applyFont="1" applyFill="1" applyAlignment="1" applyProtection="1">
      <alignment horizontal="center"/>
      <protection/>
    </xf>
    <xf numFmtId="0" fontId="12" fillId="35" borderId="35" xfId="0" applyFont="1" applyFill="1" applyBorder="1" applyAlignment="1" applyProtection="1">
      <alignment horizontal="center"/>
      <protection/>
    </xf>
    <xf numFmtId="0" fontId="12" fillId="35" borderId="19" xfId="0" applyFont="1" applyFill="1" applyBorder="1" applyAlignment="1" applyProtection="1">
      <alignment horizontal="center"/>
      <protection/>
    </xf>
    <xf numFmtId="0" fontId="12" fillId="35" borderId="36" xfId="0" applyFont="1" applyFill="1" applyBorder="1" applyAlignment="1" applyProtection="1">
      <alignment horizontal="center"/>
      <protection/>
    </xf>
    <xf numFmtId="0" fontId="16" fillId="34" borderId="0" xfId="0" applyFont="1" applyFill="1" applyAlignment="1" applyProtection="1">
      <alignment horizontal="justify" vertical="top" wrapText="1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justify" vertical="top" wrapText="1"/>
      <protection/>
    </xf>
    <xf numFmtId="191" fontId="13" fillId="34" borderId="38" xfId="0" applyNumberFormat="1" applyFont="1" applyFill="1" applyBorder="1" applyAlignment="1" applyProtection="1">
      <alignment horizontal="center" wrapText="1"/>
      <protection/>
    </xf>
    <xf numFmtId="191" fontId="13" fillId="34" borderId="0" xfId="0" applyNumberFormat="1" applyFont="1" applyFill="1" applyBorder="1" applyAlignment="1" applyProtection="1">
      <alignment horizontal="center" wrapText="1"/>
      <protection/>
    </xf>
    <xf numFmtId="0" fontId="12" fillId="35" borderId="37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 horizontal="center"/>
      <protection/>
    </xf>
    <xf numFmtId="0" fontId="11" fillId="34" borderId="39" xfId="0" applyFont="1" applyFill="1" applyBorder="1" applyAlignment="1" applyProtection="1">
      <alignment horizontal="left" indent="2"/>
      <protection/>
    </xf>
    <xf numFmtId="0" fontId="11" fillId="34" borderId="40" xfId="0" applyFont="1" applyFill="1" applyBorder="1" applyAlignment="1" applyProtection="1">
      <alignment horizontal="left" indent="2"/>
      <protection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left" vertical="center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Q89"/>
  <sheetViews>
    <sheetView zoomScalePageLayoutView="0" workbookViewId="0" topLeftCell="A5">
      <selection activeCell="E17" sqref="E17:F17"/>
    </sheetView>
  </sheetViews>
  <sheetFormatPr defaultColWidth="9.140625" defaultRowHeight="12.75"/>
  <cols>
    <col min="1" max="1" width="2.28125" style="5" customWidth="1"/>
    <col min="2" max="3" width="6.00390625" style="5" customWidth="1"/>
    <col min="4" max="4" width="10.421875" style="5" customWidth="1"/>
    <col min="5" max="5" width="20.140625" style="5" customWidth="1"/>
    <col min="6" max="6" width="27.57421875" style="5" customWidth="1"/>
    <col min="7" max="7" width="11.28125" style="5" customWidth="1"/>
    <col min="8" max="8" width="11.00390625" style="6" customWidth="1"/>
    <col min="9" max="9" width="9.140625" style="5" customWidth="1"/>
    <col min="10" max="10" width="2.7109375" style="5" customWidth="1"/>
    <col min="11" max="12" width="9.140625" style="64" customWidth="1"/>
    <col min="13" max="14" width="9.140625" style="19" customWidth="1"/>
    <col min="15" max="16384" width="9.140625" style="5" customWidth="1"/>
  </cols>
  <sheetData>
    <row r="2" ht="12.75">
      <c r="B2" s="30" t="s">
        <v>105</v>
      </c>
    </row>
    <row r="3" ht="12.75">
      <c r="B3" s="30" t="s">
        <v>106</v>
      </c>
    </row>
    <row r="4" ht="12.75">
      <c r="B4" s="30"/>
    </row>
    <row r="5" spans="6:10" ht="12.75">
      <c r="F5" s="71" t="str">
        <f>IF(E6="Empresa","digite o nome da empresa","digite o nome do Município")</f>
        <v>digite o nome do Município</v>
      </c>
      <c r="G5" s="67"/>
      <c r="H5" s="68" t="s">
        <v>98</v>
      </c>
      <c r="I5" s="67" t="s">
        <v>97</v>
      </c>
      <c r="J5" s="27"/>
    </row>
    <row r="6" spans="2:17" ht="12.75">
      <c r="B6" s="21" t="s">
        <v>99</v>
      </c>
      <c r="E6" s="65" t="s">
        <v>98</v>
      </c>
      <c r="F6" s="66" t="s">
        <v>112</v>
      </c>
      <c r="G6" s="69" t="str">
        <f>IF(E6="empresa","",E6)</f>
        <v>Prefeitura Municipal de</v>
      </c>
      <c r="H6" s="70"/>
      <c r="I6" s="70"/>
      <c r="J6" s="29"/>
      <c r="O6" s="22"/>
      <c r="P6" s="22"/>
      <c r="Q6" s="22"/>
    </row>
    <row r="7" spans="2:17" ht="12.75">
      <c r="B7" s="21" t="s">
        <v>107</v>
      </c>
      <c r="E7" s="119" t="s">
        <v>112</v>
      </c>
      <c r="F7" s="120"/>
      <c r="G7" s="69"/>
      <c r="H7" s="70"/>
      <c r="I7" s="70"/>
      <c r="J7" s="29"/>
      <c r="O7" s="22"/>
      <c r="P7" s="22"/>
      <c r="Q7" s="22"/>
    </row>
    <row r="8" spans="2:17" ht="12.75">
      <c r="B8" s="21" t="s">
        <v>80</v>
      </c>
      <c r="E8" s="115"/>
      <c r="F8" s="116"/>
      <c r="H8" s="28"/>
      <c r="I8" s="28"/>
      <c r="J8" s="29"/>
      <c r="O8" s="22"/>
      <c r="P8" s="22"/>
      <c r="Q8" s="22"/>
    </row>
    <row r="9" spans="2:17" ht="12.75">
      <c r="B9" s="21" t="s">
        <v>81</v>
      </c>
      <c r="E9" s="115" t="s">
        <v>111</v>
      </c>
      <c r="F9" s="116"/>
      <c r="H9" s="28"/>
      <c r="I9" s="28"/>
      <c r="J9" s="29"/>
      <c r="O9" s="22"/>
      <c r="P9" s="22"/>
      <c r="Q9" s="22"/>
    </row>
    <row r="10" spans="2:17" ht="12.75">
      <c r="B10" s="21" t="s">
        <v>82</v>
      </c>
      <c r="E10" s="115" t="s">
        <v>73</v>
      </c>
      <c r="F10" s="116"/>
      <c r="H10" s="28"/>
      <c r="I10" s="28"/>
      <c r="J10" s="29"/>
      <c r="O10" s="22"/>
      <c r="P10" s="22"/>
      <c r="Q10" s="22"/>
    </row>
    <row r="11" spans="2:17" ht="12.75">
      <c r="B11" s="21" t="s">
        <v>108</v>
      </c>
      <c r="E11" s="121">
        <f ca="1">TODAY()</f>
        <v>43627</v>
      </c>
      <c r="F11" s="120"/>
      <c r="H11" s="28"/>
      <c r="I11" s="28"/>
      <c r="J11" s="29"/>
      <c r="O11" s="22"/>
      <c r="P11" s="22"/>
      <c r="Q11" s="22"/>
    </row>
    <row r="12" spans="2:17" ht="12.75">
      <c r="B12" s="21"/>
      <c r="E12" s="28"/>
      <c r="F12" s="28"/>
      <c r="H12" s="28"/>
      <c r="I12" s="28"/>
      <c r="J12" s="29"/>
      <c r="O12" s="22"/>
      <c r="P12" s="22"/>
      <c r="Q12" s="22"/>
    </row>
    <row r="13" spans="2:17" ht="12.75">
      <c r="B13" s="21" t="s">
        <v>83</v>
      </c>
      <c r="E13" s="111" t="s">
        <v>109</v>
      </c>
      <c r="F13" s="111"/>
      <c r="H13" s="28"/>
      <c r="I13" s="28"/>
      <c r="J13" s="29"/>
      <c r="O13" s="22"/>
      <c r="P13" s="22"/>
      <c r="Q13" s="22"/>
    </row>
    <row r="14" spans="2:17" ht="12.75">
      <c r="B14" s="114" t="s">
        <v>84</v>
      </c>
      <c r="C14" s="114"/>
      <c r="D14" s="114"/>
      <c r="E14" s="111" t="s">
        <v>110</v>
      </c>
      <c r="F14" s="111"/>
      <c r="H14" s="38" t="s">
        <v>85</v>
      </c>
      <c r="I14" s="38" t="s">
        <v>86</v>
      </c>
      <c r="J14" s="29"/>
      <c r="O14" s="22"/>
      <c r="P14" s="22"/>
      <c r="Q14" s="22"/>
    </row>
    <row r="15" spans="2:17" ht="12.75">
      <c r="B15" s="74"/>
      <c r="C15" s="74"/>
      <c r="D15" s="74"/>
      <c r="E15" s="75"/>
      <c r="F15" s="75"/>
      <c r="H15" s="38"/>
      <c r="I15" s="38"/>
      <c r="J15" s="29"/>
      <c r="O15" s="22"/>
      <c r="P15" s="22"/>
      <c r="Q15" s="22"/>
    </row>
    <row r="16" spans="2:17" ht="12.75">
      <c r="B16" s="21" t="s">
        <v>103</v>
      </c>
      <c r="E16" s="111" t="s">
        <v>113</v>
      </c>
      <c r="F16" s="111"/>
      <c r="H16" s="38"/>
      <c r="I16" s="38"/>
      <c r="J16" s="29"/>
      <c r="O16" s="22"/>
      <c r="P16" s="22"/>
      <c r="Q16" s="22"/>
    </row>
    <row r="17" spans="2:17" ht="12.75">
      <c r="B17" s="21" t="s">
        <v>104</v>
      </c>
      <c r="E17" s="111" t="s">
        <v>114</v>
      </c>
      <c r="F17" s="111"/>
      <c r="H17" s="38"/>
      <c r="I17" s="38"/>
      <c r="J17" s="29"/>
      <c r="O17" s="22"/>
      <c r="P17" s="22"/>
      <c r="Q17" s="22"/>
    </row>
    <row r="18" spans="8:17" ht="12.75">
      <c r="H18" s="38"/>
      <c r="I18" s="38"/>
      <c r="J18" s="29"/>
      <c r="O18" s="22"/>
      <c r="P18" s="22"/>
      <c r="Q18" s="22"/>
    </row>
    <row r="19" spans="2:17" ht="12.75">
      <c r="B19" s="23" t="s">
        <v>102</v>
      </c>
      <c r="E19" s="111" t="s">
        <v>100</v>
      </c>
      <c r="F19" s="111"/>
      <c r="G19" s="72" t="s">
        <v>100</v>
      </c>
      <c r="H19" s="72" t="s">
        <v>101</v>
      </c>
      <c r="I19" s="39"/>
      <c r="J19" s="29"/>
      <c r="L19" s="64" t="s">
        <v>76</v>
      </c>
      <c r="M19" s="19" t="s">
        <v>73</v>
      </c>
      <c r="O19" s="22"/>
      <c r="P19" s="22"/>
      <c r="Q19" s="22"/>
    </row>
    <row r="20" spans="2:17" ht="12.75">
      <c r="B20" s="23"/>
      <c r="E20" s="21"/>
      <c r="F20" s="27"/>
      <c r="H20" s="26"/>
      <c r="I20" s="26"/>
      <c r="J20" s="29"/>
      <c r="O20" s="22"/>
      <c r="P20" s="22"/>
      <c r="Q20" s="22"/>
    </row>
    <row r="21" spans="2:17" ht="12.75">
      <c r="B21" s="21" t="s">
        <v>92</v>
      </c>
      <c r="E21" s="73">
        <v>3</v>
      </c>
      <c r="F21" s="26" t="s">
        <v>71</v>
      </c>
      <c r="G21" s="19">
        <v>2</v>
      </c>
      <c r="H21" s="39">
        <v>5</v>
      </c>
      <c r="I21" s="39"/>
      <c r="J21" s="29"/>
      <c r="O21" s="22"/>
      <c r="P21" s="22"/>
      <c r="Q21" s="22"/>
    </row>
    <row r="22" spans="2:17" ht="12.75">
      <c r="B22" s="21" t="s">
        <v>90</v>
      </c>
      <c r="E22" s="115" t="s">
        <v>75</v>
      </c>
      <c r="F22" s="116"/>
      <c r="G22" s="19"/>
      <c r="H22" s="38"/>
      <c r="I22" s="38"/>
      <c r="J22" s="29"/>
      <c r="L22" s="64" t="s">
        <v>72</v>
      </c>
      <c r="M22" s="19" t="s">
        <v>75</v>
      </c>
      <c r="O22" s="22"/>
      <c r="P22" s="22"/>
      <c r="Q22" s="22"/>
    </row>
    <row r="23" spans="2:17" ht="12.75" customHeight="1">
      <c r="B23" s="124" t="s">
        <v>89</v>
      </c>
      <c r="C23" s="124"/>
      <c r="D23" s="124"/>
      <c r="E23" s="40">
        <v>30</v>
      </c>
      <c r="F23" s="26" t="s">
        <v>71</v>
      </c>
      <c r="H23" s="26"/>
      <c r="I23" s="26"/>
      <c r="J23" s="29"/>
      <c r="O23" s="22"/>
      <c r="P23" s="22"/>
      <c r="Q23" s="22"/>
    </row>
    <row r="24" spans="2:17" ht="12.75">
      <c r="B24" s="124"/>
      <c r="C24" s="124"/>
      <c r="D24" s="124"/>
      <c r="G24" s="27"/>
      <c r="H24" s="35"/>
      <c r="I24" s="27"/>
      <c r="J24" s="29"/>
      <c r="O24" s="22"/>
      <c r="P24" s="22"/>
      <c r="Q24" s="22"/>
    </row>
    <row r="25" spans="2:17" ht="5.25" customHeight="1">
      <c r="B25" s="124"/>
      <c r="C25" s="124"/>
      <c r="D25" s="124"/>
      <c r="G25" s="27"/>
      <c r="H25" s="35"/>
      <c r="I25" s="27"/>
      <c r="J25" s="29"/>
      <c r="O25" s="22"/>
      <c r="P25" s="22"/>
      <c r="Q25" s="22"/>
    </row>
    <row r="26" spans="2:17" ht="5.25" customHeight="1">
      <c r="B26" s="124"/>
      <c r="C26" s="124"/>
      <c r="D26" s="124"/>
      <c r="J26" s="22"/>
      <c r="O26" s="22"/>
      <c r="P26" s="22"/>
      <c r="Q26" s="22"/>
    </row>
    <row r="27" ht="5.25" customHeight="1"/>
    <row r="28" ht="5.25" customHeight="1" thickBot="1"/>
    <row r="29" spans="2:17" ht="16.5" thickBot="1">
      <c r="B29" s="125" t="s">
        <v>20</v>
      </c>
      <c r="C29" s="126"/>
      <c r="D29" s="126"/>
      <c r="E29" s="126"/>
      <c r="F29" s="126"/>
      <c r="G29" s="126"/>
      <c r="H29" s="126"/>
      <c r="I29" s="127"/>
      <c r="O29" s="11"/>
      <c r="P29" s="11"/>
      <c r="Q29" s="11"/>
    </row>
    <row r="30" spans="15:17" ht="6" customHeight="1" thickBot="1">
      <c r="O30" s="11"/>
      <c r="P30" s="11"/>
      <c r="Q30" s="11"/>
    </row>
    <row r="31" spans="2:17" ht="26.25" customHeight="1" thickBot="1">
      <c r="B31" s="117" t="s">
        <v>65</v>
      </c>
      <c r="C31" s="118"/>
      <c r="D31" s="122" t="s">
        <v>33</v>
      </c>
      <c r="E31" s="122"/>
      <c r="F31" s="122"/>
      <c r="G31" s="122"/>
      <c r="H31" s="122"/>
      <c r="I31" s="123"/>
      <c r="O31" s="11"/>
      <c r="P31" s="11"/>
      <c r="Q31" s="11"/>
    </row>
    <row r="32" spans="15:17" ht="5.25" customHeight="1" thickBot="1">
      <c r="O32" s="11"/>
      <c r="P32" s="11"/>
      <c r="Q32" s="11"/>
    </row>
    <row r="33" spans="2:17" ht="13.5" thickBot="1">
      <c r="B33" s="112" t="s">
        <v>9</v>
      </c>
      <c r="C33" s="113"/>
      <c r="D33" s="113"/>
      <c r="E33" s="113"/>
      <c r="F33" s="113"/>
      <c r="G33" s="1" t="s">
        <v>8</v>
      </c>
      <c r="H33" s="1" t="s">
        <v>66</v>
      </c>
      <c r="I33" s="2" t="s">
        <v>5</v>
      </c>
      <c r="M33" s="19" t="s">
        <v>32</v>
      </c>
      <c r="O33" s="11"/>
      <c r="P33" s="11" t="s">
        <v>58</v>
      </c>
      <c r="Q33" s="11" t="s">
        <v>5</v>
      </c>
    </row>
    <row r="34" spans="2:17" ht="12.75">
      <c r="B34" s="3" t="s">
        <v>10</v>
      </c>
      <c r="C34" s="100" t="s">
        <v>0</v>
      </c>
      <c r="D34" s="101"/>
      <c r="E34" s="101"/>
      <c r="F34" s="102"/>
      <c r="G34" s="9">
        <v>3.8</v>
      </c>
      <c r="H34" s="8">
        <f>VLOOKUP(J34,$O$34:$Q$74,2,FALSE)</f>
        <v>3.8</v>
      </c>
      <c r="I34" s="8">
        <f>VLOOKUP(J34,$O$34:$Q$74,3,FALSE)</f>
        <v>4.67</v>
      </c>
      <c r="J34" s="11" t="str">
        <f>CONCATENATE(LEFT($D$31,1),"a")</f>
        <v>2a</v>
      </c>
      <c r="K34" s="64">
        <v>0</v>
      </c>
      <c r="L34" s="64">
        <f>IF($G$51&gt;$I$51,I34,10000)</f>
        <v>10000</v>
      </c>
      <c r="M34" s="19" t="s">
        <v>33</v>
      </c>
      <c r="O34" s="11" t="s">
        <v>22</v>
      </c>
      <c r="P34" s="14">
        <v>3</v>
      </c>
      <c r="Q34" s="14">
        <v>5.5</v>
      </c>
    </row>
    <row r="35" spans="2:17" ht="12.75">
      <c r="B35" s="4" t="s">
        <v>11</v>
      </c>
      <c r="C35" s="103" t="s">
        <v>1</v>
      </c>
      <c r="D35" s="104"/>
      <c r="E35" s="104"/>
      <c r="F35" s="99"/>
      <c r="G35" s="9">
        <v>0.32</v>
      </c>
      <c r="H35" s="8">
        <f>VLOOKUP(J35,$O$34:$Q$74,2,FALSE)</f>
        <v>0.32</v>
      </c>
      <c r="I35" s="8">
        <f>VLOOKUP(J35,$O$34:$Q$74,3,FALSE)</f>
        <v>0.74</v>
      </c>
      <c r="J35" s="11" t="str">
        <f>CONCATENATE(LEFT($D$31,1),"b")</f>
        <v>2b</v>
      </c>
      <c r="K35" s="64">
        <v>0</v>
      </c>
      <c r="L35" s="64">
        <f>IF($G$51&gt;$I$51,I35,10000)</f>
        <v>10000</v>
      </c>
      <c r="M35" s="19" t="s">
        <v>34</v>
      </c>
      <c r="O35" s="11" t="s">
        <v>23</v>
      </c>
      <c r="P35" s="14">
        <v>0.8</v>
      </c>
      <c r="Q35" s="14">
        <v>1</v>
      </c>
    </row>
    <row r="36" spans="2:17" ht="12.75">
      <c r="B36" s="4" t="s">
        <v>12</v>
      </c>
      <c r="C36" s="103" t="s">
        <v>2</v>
      </c>
      <c r="D36" s="104"/>
      <c r="E36" s="104"/>
      <c r="F36" s="99"/>
      <c r="G36" s="9">
        <v>0.5</v>
      </c>
      <c r="H36" s="8">
        <f>VLOOKUP(J36,$O$34:$Q$74,2,FALSE)</f>
        <v>0.5</v>
      </c>
      <c r="I36" s="8">
        <f>VLOOKUP(J36,$O$34:$Q$74,3,FALSE)</f>
        <v>0.97</v>
      </c>
      <c r="J36" s="11" t="str">
        <f>CONCATENATE(LEFT($D$31,1),"c")</f>
        <v>2c</v>
      </c>
      <c r="K36" s="64">
        <v>0</v>
      </c>
      <c r="L36" s="64">
        <f>IF($G$51&gt;$I$51,I36,10000)</f>
        <v>10000</v>
      </c>
      <c r="M36" s="19" t="s">
        <v>35</v>
      </c>
      <c r="O36" s="11" t="s">
        <v>24</v>
      </c>
      <c r="P36" s="14">
        <v>0.97</v>
      </c>
      <c r="Q36" s="14">
        <v>1.27</v>
      </c>
    </row>
    <row r="37" spans="2:17" ht="12.75">
      <c r="B37" s="4" t="s">
        <v>13</v>
      </c>
      <c r="C37" s="97" t="s">
        <v>88</v>
      </c>
      <c r="D37" s="98"/>
      <c r="E37" s="98"/>
      <c r="F37" s="99"/>
      <c r="G37" s="9">
        <v>1.02</v>
      </c>
      <c r="H37" s="8">
        <f>VLOOKUP(J37,$O$34:$Q$74,2,FALSE)</f>
        <v>1.02</v>
      </c>
      <c r="I37" s="8">
        <f>VLOOKUP(J37,$O$34:$Q$74,3,FALSE)</f>
        <v>1.21</v>
      </c>
      <c r="J37" s="11" t="str">
        <f>CONCATENATE(LEFT($D$31,1),"d")</f>
        <v>2d</v>
      </c>
      <c r="K37" s="64">
        <v>0</v>
      </c>
      <c r="L37" s="64">
        <f>IF($G$51&gt;$I$51,I37,10000)</f>
        <v>10000</v>
      </c>
      <c r="M37" s="19" t="s">
        <v>36</v>
      </c>
      <c r="O37" s="11" t="s">
        <v>25</v>
      </c>
      <c r="P37" s="14">
        <v>0.59</v>
      </c>
      <c r="Q37" s="14">
        <v>1.39</v>
      </c>
    </row>
    <row r="38" spans="2:17" ht="12.75">
      <c r="B38" s="4" t="s">
        <v>14</v>
      </c>
      <c r="C38" s="103" t="s">
        <v>4</v>
      </c>
      <c r="D38" s="104"/>
      <c r="E38" s="104"/>
      <c r="F38" s="99"/>
      <c r="G38" s="9">
        <v>6</v>
      </c>
      <c r="H38" s="8">
        <f>VLOOKUP(J38,$O$34:$Q$74,2,FALSE)</f>
        <v>6.64</v>
      </c>
      <c r="I38" s="8">
        <f>VLOOKUP(J38,$O$34:$Q$74,3,FALSE)</f>
        <v>8.69</v>
      </c>
      <c r="J38" s="11" t="str">
        <f>CONCATENATE(LEFT($D$31,1),"e")</f>
        <v>2e</v>
      </c>
      <c r="K38" s="64">
        <v>0</v>
      </c>
      <c r="L38" s="64">
        <f>IF($G$51&gt;$I$51,I38,10000)</f>
        <v>10000</v>
      </c>
      <c r="M38" s="19" t="s">
        <v>37</v>
      </c>
      <c r="O38" s="11" t="s">
        <v>26</v>
      </c>
      <c r="P38" s="14">
        <v>6.16</v>
      </c>
      <c r="Q38" s="14">
        <v>8.96</v>
      </c>
    </row>
    <row r="39" spans="2:17" ht="12.75">
      <c r="B39" s="4" t="s">
        <v>15</v>
      </c>
      <c r="C39" s="93" t="s">
        <v>67</v>
      </c>
      <c r="D39" s="94"/>
      <c r="E39" s="94"/>
      <c r="F39" s="95"/>
      <c r="G39" s="34">
        <f>G40+G41+G42</f>
        <v>4.55</v>
      </c>
      <c r="H39" s="78" t="s">
        <v>6</v>
      </c>
      <c r="I39" s="79"/>
      <c r="O39" s="11" t="s">
        <v>27</v>
      </c>
      <c r="P39" s="14">
        <v>3.8</v>
      </c>
      <c r="Q39" s="14">
        <v>4.67</v>
      </c>
    </row>
    <row r="40" spans="2:17" ht="12.75">
      <c r="B40" s="4"/>
      <c r="C40" s="15"/>
      <c r="D40" s="25" t="s">
        <v>69</v>
      </c>
      <c r="E40" s="24"/>
      <c r="F40" s="31"/>
      <c r="G40" s="61">
        <v>0.65</v>
      </c>
      <c r="H40" s="80"/>
      <c r="I40" s="81"/>
      <c r="K40" s="64">
        <v>0</v>
      </c>
      <c r="L40" s="64">
        <f>IF($G$51&gt;$I$51,3,10000)</f>
        <v>10000</v>
      </c>
      <c r="O40" s="11"/>
      <c r="P40" s="14"/>
      <c r="Q40" s="14"/>
    </row>
    <row r="41" spans="2:17" ht="12.75">
      <c r="B41" s="4"/>
      <c r="C41" s="20"/>
      <c r="D41" s="32" t="s">
        <v>68</v>
      </c>
      <c r="E41" s="20"/>
      <c r="F41" s="33"/>
      <c r="G41" s="61">
        <v>3</v>
      </c>
      <c r="H41" s="80"/>
      <c r="I41" s="81"/>
      <c r="K41" s="64">
        <v>0</v>
      </c>
      <c r="L41" s="64">
        <f>IF($G$51&gt;$I$51,0.65,10000)</f>
        <v>10000</v>
      </c>
      <c r="O41" s="11"/>
      <c r="P41" s="14"/>
      <c r="Q41" s="14"/>
    </row>
    <row r="42" spans="2:17" ht="12.75">
      <c r="B42" s="4"/>
      <c r="C42" s="15"/>
      <c r="D42" s="16" t="s">
        <v>95</v>
      </c>
      <c r="E42" s="15"/>
      <c r="F42" s="31"/>
      <c r="G42" s="34">
        <f>IF(E22="valor total da obra",$E$21,$E$21*$E$23/100)</f>
        <v>0.9</v>
      </c>
      <c r="H42" s="80"/>
      <c r="I42" s="81"/>
      <c r="O42" s="11"/>
      <c r="P42" s="14"/>
      <c r="Q42" s="14"/>
    </row>
    <row r="43" spans="2:17" ht="12.75">
      <c r="B43" s="4"/>
      <c r="C43" s="15"/>
      <c r="D43" s="16" t="s">
        <v>79</v>
      </c>
      <c r="E43" s="15"/>
      <c r="F43" s="31"/>
      <c r="G43" s="34">
        <v>4.5</v>
      </c>
      <c r="H43" s="80"/>
      <c r="I43" s="81"/>
      <c r="O43" s="11"/>
      <c r="P43" s="14"/>
      <c r="Q43" s="14"/>
    </row>
    <row r="44" spans="2:17" ht="12.75">
      <c r="B44" s="4" t="s">
        <v>15</v>
      </c>
      <c r="C44" s="97" t="s">
        <v>70</v>
      </c>
      <c r="D44" s="98"/>
      <c r="E44" s="98"/>
      <c r="F44" s="110"/>
      <c r="G44" s="34">
        <f>IF(E10="desonerados",SUM(G40:G43),G39)</f>
        <v>9.05</v>
      </c>
      <c r="H44" s="82"/>
      <c r="I44" s="83"/>
      <c r="O44" s="11" t="s">
        <v>28</v>
      </c>
      <c r="P44" s="14">
        <v>0.32</v>
      </c>
      <c r="Q44" s="14">
        <v>0.74</v>
      </c>
    </row>
    <row r="45" spans="15:17" ht="4.5" customHeight="1" thickBot="1">
      <c r="O45" s="11" t="s">
        <v>29</v>
      </c>
      <c r="P45" s="14">
        <v>0.5</v>
      </c>
      <c r="Q45" s="14">
        <v>0.97</v>
      </c>
    </row>
    <row r="46" spans="2:17" ht="13.5" thickBot="1">
      <c r="B46" s="105" t="s">
        <v>19</v>
      </c>
      <c r="C46" s="106"/>
      <c r="D46" s="106"/>
      <c r="E46" s="106"/>
      <c r="F46" s="106"/>
      <c r="G46" s="107"/>
      <c r="H46" s="17"/>
      <c r="O46" s="11" t="s">
        <v>30</v>
      </c>
      <c r="P46" s="14">
        <v>1.02</v>
      </c>
      <c r="Q46" s="14">
        <v>1.21</v>
      </c>
    </row>
    <row r="47" spans="2:17" ht="22.5" customHeight="1">
      <c r="B47" s="87"/>
      <c r="C47" s="85" t="s">
        <v>17</v>
      </c>
      <c r="D47" s="96" t="s">
        <v>18</v>
      </c>
      <c r="E47" s="96"/>
      <c r="F47" s="96"/>
      <c r="G47" s="91">
        <v>-1</v>
      </c>
      <c r="O47" s="11" t="s">
        <v>31</v>
      </c>
      <c r="P47" s="14">
        <v>6.64</v>
      </c>
      <c r="Q47" s="14">
        <v>8.69</v>
      </c>
    </row>
    <row r="48" spans="2:17" ht="21" customHeight="1" thickBot="1">
      <c r="B48" s="88"/>
      <c r="C48" s="86"/>
      <c r="D48" s="77" t="s">
        <v>16</v>
      </c>
      <c r="E48" s="77"/>
      <c r="F48" s="77"/>
      <c r="G48" s="92"/>
      <c r="O48" s="11" t="s">
        <v>38</v>
      </c>
      <c r="P48" s="14">
        <v>3.43</v>
      </c>
      <c r="Q48" s="14">
        <v>6.71</v>
      </c>
    </row>
    <row r="49" spans="15:17" ht="3" customHeight="1" thickBot="1">
      <c r="O49" s="11" t="s">
        <v>39</v>
      </c>
      <c r="P49" s="14">
        <v>0.28</v>
      </c>
      <c r="Q49" s="14">
        <v>0.75</v>
      </c>
    </row>
    <row r="50" spans="2:17" ht="15" customHeight="1" thickBot="1">
      <c r="B50" s="108" t="s">
        <v>21</v>
      </c>
      <c r="C50" s="109"/>
      <c r="D50" s="109"/>
      <c r="E50" s="109"/>
      <c r="F50" s="109"/>
      <c r="G50" s="109"/>
      <c r="H50" s="10" t="s">
        <v>66</v>
      </c>
      <c r="I50" s="7" t="s">
        <v>5</v>
      </c>
      <c r="O50" s="11" t="s">
        <v>40</v>
      </c>
      <c r="P50" s="14">
        <v>1</v>
      </c>
      <c r="Q50" s="14">
        <v>1.74</v>
      </c>
    </row>
    <row r="51" spans="2:17" ht="15">
      <c r="B51" s="90" t="str">
        <f>IF(G51&gt;I51,"BDI Sem Desoneração: ! FORA DOS LIMITES !",IF(G51&lt;H51,"BDI Sem Desoneração: ! FORA DOS LIMITES !","BDI Sem Desoneração:"))</f>
        <v>BDI Sem Desoneração: ! FORA DOS LIMITES !</v>
      </c>
      <c r="C51" s="90"/>
      <c r="D51" s="90"/>
      <c r="E51" s="90"/>
      <c r="F51" s="90"/>
      <c r="G51" s="13">
        <f>100*ROUND((((1+G34/100+G35/100+G36/100)*(1+G37/100)*(1+G38/100))/(1-G39/100))-1,4)</f>
        <v>17.37</v>
      </c>
      <c r="H51" s="8">
        <f>VLOOKUP(J51,$O$34:$Q$74,2,FALSE)</f>
        <v>19.6</v>
      </c>
      <c r="I51" s="8">
        <f>VLOOKUP(J51,$O$34:$Q$74,3,FALSE)</f>
        <v>24.23</v>
      </c>
      <c r="J51" s="11" t="str">
        <f>CONCATENATE(LEFT($D$31,1),"F")</f>
        <v>2F</v>
      </c>
      <c r="O51" s="11" t="s">
        <v>41</v>
      </c>
      <c r="P51" s="14">
        <v>0.94</v>
      </c>
      <c r="Q51" s="14">
        <v>1.17</v>
      </c>
    </row>
    <row r="52" spans="2:17" ht="15">
      <c r="B52" s="90" t="s">
        <v>7</v>
      </c>
      <c r="C52" s="90"/>
      <c r="D52" s="90"/>
      <c r="E52" s="90"/>
      <c r="F52" s="90"/>
      <c r="G52" s="12">
        <f>100*ROUND((((1+G34/100+G35/100+G36/100)*(1+G37/100)*(1+G38/100))/(1-G44/100))-1,4)</f>
        <v>23.18</v>
      </c>
      <c r="H52" s="4"/>
      <c r="I52" s="4"/>
      <c r="J52" s="11">
        <f>IF(G51&gt;I51,1,IF(G51&lt;H51,1,0))</f>
        <v>1</v>
      </c>
      <c r="O52" s="11" t="s">
        <v>42</v>
      </c>
      <c r="P52" s="14">
        <v>6.74</v>
      </c>
      <c r="Q52" s="14">
        <v>9.4</v>
      </c>
    </row>
    <row r="53" spans="2:17" ht="9" customHeight="1">
      <c r="B53" s="62"/>
      <c r="C53" s="62"/>
      <c r="D53" s="62"/>
      <c r="E53" s="62"/>
      <c r="F53" s="62"/>
      <c r="G53" s="63"/>
      <c r="H53" s="35"/>
      <c r="I53" s="35"/>
      <c r="J53" s="11"/>
      <c r="O53" s="11"/>
      <c r="P53" s="14"/>
      <c r="Q53" s="14"/>
    </row>
    <row r="54" spans="2:17" ht="71.25" customHeight="1">
      <c r="B54" s="89" t="s">
        <v>96</v>
      </c>
      <c r="C54" s="89"/>
      <c r="D54" s="89"/>
      <c r="E54" s="89"/>
      <c r="F54" s="89"/>
      <c r="G54" s="89"/>
      <c r="H54" s="89"/>
      <c r="I54" s="89"/>
      <c r="O54" s="11"/>
      <c r="P54" s="14"/>
      <c r="Q54" s="14"/>
    </row>
    <row r="55" spans="2:17" ht="46.5" customHeight="1">
      <c r="B55" s="84" t="s">
        <v>94</v>
      </c>
      <c r="C55" s="84"/>
      <c r="D55" s="84"/>
      <c r="E55" s="84"/>
      <c r="F55" s="84"/>
      <c r="G55" s="84"/>
      <c r="H55" s="84"/>
      <c r="I55" s="84"/>
      <c r="O55" s="11" t="s">
        <v>44</v>
      </c>
      <c r="P55" s="14">
        <v>0.25</v>
      </c>
      <c r="Q55" s="14">
        <v>0.56</v>
      </c>
    </row>
    <row r="56" spans="2:17" ht="11.25" customHeight="1">
      <c r="B56" s="76" t="s">
        <v>91</v>
      </c>
      <c r="C56" s="76"/>
      <c r="D56" s="76"/>
      <c r="E56" s="76"/>
      <c r="F56" s="76"/>
      <c r="G56" s="76"/>
      <c r="H56" s="76"/>
      <c r="I56" s="76"/>
      <c r="O56" s="11" t="s">
        <v>45</v>
      </c>
      <c r="P56" s="14">
        <v>1</v>
      </c>
      <c r="Q56" s="14">
        <v>1.97</v>
      </c>
    </row>
    <row r="57" spans="2:17" ht="15.75" customHeight="1">
      <c r="B57" s="76"/>
      <c r="C57" s="76"/>
      <c r="D57" s="76"/>
      <c r="E57" s="76"/>
      <c r="F57" s="76"/>
      <c r="G57" s="76"/>
      <c r="H57" s="76"/>
      <c r="I57" s="76"/>
      <c r="O57" s="11" t="s">
        <v>46</v>
      </c>
      <c r="P57" s="14">
        <v>1.01</v>
      </c>
      <c r="Q57" s="14">
        <v>1.11</v>
      </c>
    </row>
    <row r="58" spans="15:17" ht="68.25" customHeight="1">
      <c r="O58" s="11" t="s">
        <v>47</v>
      </c>
      <c r="P58" s="14">
        <v>8</v>
      </c>
      <c r="Q58" s="14">
        <v>9.51</v>
      </c>
    </row>
    <row r="59" spans="15:17" ht="68.25" customHeight="1">
      <c r="O59" s="11" t="s">
        <v>48</v>
      </c>
      <c r="P59" s="14">
        <v>4</v>
      </c>
      <c r="Q59" s="14">
        <v>7.85</v>
      </c>
    </row>
    <row r="60" spans="15:17" ht="12.75">
      <c r="O60" s="11" t="s">
        <v>49</v>
      </c>
      <c r="P60" s="14">
        <v>0.81</v>
      </c>
      <c r="Q60" s="14">
        <v>1.99</v>
      </c>
    </row>
    <row r="61" spans="15:17" ht="12.75">
      <c r="O61" s="11" t="s">
        <v>50</v>
      </c>
      <c r="P61" s="14">
        <v>1.46</v>
      </c>
      <c r="Q61" s="14">
        <v>3.16</v>
      </c>
    </row>
    <row r="62" spans="15:17" ht="12.75">
      <c r="O62" s="11" t="s">
        <v>51</v>
      </c>
      <c r="P62" s="14">
        <v>0.94</v>
      </c>
      <c r="Q62" s="14">
        <v>1.33</v>
      </c>
    </row>
    <row r="63" spans="15:17" ht="12.75">
      <c r="O63" s="11" t="s">
        <v>52</v>
      </c>
      <c r="P63" s="14">
        <v>7.14</v>
      </c>
      <c r="Q63" s="14">
        <v>10.43</v>
      </c>
    </row>
    <row r="64" spans="15:17" ht="12.75">
      <c r="O64" s="11" t="s">
        <v>53</v>
      </c>
      <c r="P64" s="14">
        <v>1.5</v>
      </c>
      <c r="Q64" s="14">
        <v>4.49</v>
      </c>
    </row>
    <row r="65" spans="15:17" ht="12.75">
      <c r="O65" s="11" t="s">
        <v>54</v>
      </c>
      <c r="P65" s="14">
        <v>0.3</v>
      </c>
      <c r="Q65" s="14">
        <v>0.82</v>
      </c>
    </row>
    <row r="66" spans="15:17" ht="12.75">
      <c r="O66" s="11" t="s">
        <v>55</v>
      </c>
      <c r="P66" s="14">
        <v>0.56</v>
      </c>
      <c r="Q66" s="14">
        <v>0.89</v>
      </c>
    </row>
    <row r="67" spans="15:17" ht="12.75">
      <c r="O67" s="11" t="s">
        <v>56</v>
      </c>
      <c r="P67" s="14">
        <v>0.85</v>
      </c>
      <c r="Q67" s="14">
        <v>1.11</v>
      </c>
    </row>
    <row r="68" spans="15:17" ht="12.75">
      <c r="O68" s="11" t="s">
        <v>57</v>
      </c>
      <c r="P68" s="14">
        <v>3.5</v>
      </c>
      <c r="Q68" s="14">
        <v>6.22</v>
      </c>
    </row>
    <row r="69" spans="15:17" ht="12.75">
      <c r="O69" s="11" t="s">
        <v>59</v>
      </c>
      <c r="P69" s="14">
        <v>20.34</v>
      </c>
      <c r="Q69" s="14">
        <v>25</v>
      </c>
    </row>
    <row r="70" spans="15:17" ht="12.75">
      <c r="O70" s="11" t="s">
        <v>60</v>
      </c>
      <c r="P70" s="14">
        <v>19.6</v>
      </c>
      <c r="Q70" s="14">
        <v>24.23</v>
      </c>
    </row>
    <row r="71" spans="15:17" ht="12.75">
      <c r="O71" s="11" t="s">
        <v>61</v>
      </c>
      <c r="P71" s="14">
        <v>20.76</v>
      </c>
      <c r="Q71" s="14">
        <v>26.44</v>
      </c>
    </row>
    <row r="72" spans="15:17" ht="12.75">
      <c r="O72" s="11" t="s">
        <v>62</v>
      </c>
      <c r="P72" s="14">
        <v>24</v>
      </c>
      <c r="Q72" s="14">
        <v>27.86</v>
      </c>
    </row>
    <row r="73" spans="15:17" ht="12.75">
      <c r="O73" s="11" t="s">
        <v>63</v>
      </c>
      <c r="P73" s="14">
        <v>22.8</v>
      </c>
      <c r="Q73" s="14">
        <v>30.95</v>
      </c>
    </row>
    <row r="74" spans="15:17" ht="12.75">
      <c r="O74" s="11" t="s">
        <v>64</v>
      </c>
      <c r="P74" s="14">
        <v>11.1</v>
      </c>
      <c r="Q74" s="14">
        <v>16.8</v>
      </c>
    </row>
    <row r="75" spans="15:17" ht="12.75">
      <c r="O75" s="11"/>
      <c r="P75" s="11"/>
      <c r="Q75" s="11"/>
    </row>
    <row r="76" spans="15:17" ht="12.75">
      <c r="O76" s="11"/>
      <c r="P76" s="11"/>
      <c r="Q76" s="11"/>
    </row>
    <row r="77" spans="15:17" ht="12.75">
      <c r="O77" s="11"/>
      <c r="P77" s="11"/>
      <c r="Q77" s="11"/>
    </row>
    <row r="78" spans="15:17" ht="12.75">
      <c r="O78" s="11"/>
      <c r="P78" s="11"/>
      <c r="Q78" s="11"/>
    </row>
    <row r="79" spans="15:17" ht="12.75">
      <c r="O79" s="11"/>
      <c r="P79" s="11"/>
      <c r="Q79" s="11"/>
    </row>
    <row r="80" spans="15:17" ht="12.75">
      <c r="O80" s="11"/>
      <c r="P80" s="11"/>
      <c r="Q80" s="11"/>
    </row>
    <row r="81" spans="15:17" ht="12.75">
      <c r="O81" s="11"/>
      <c r="P81" s="11"/>
      <c r="Q81" s="11"/>
    </row>
    <row r="82" spans="15:17" ht="12.75">
      <c r="O82" s="11"/>
      <c r="P82" s="11"/>
      <c r="Q82" s="11"/>
    </row>
    <row r="83" spans="15:17" ht="12.75">
      <c r="O83" s="11"/>
      <c r="P83" s="11"/>
      <c r="Q83" s="11"/>
    </row>
    <row r="84" spans="15:17" ht="12.75">
      <c r="O84" s="11"/>
      <c r="P84" s="11"/>
      <c r="Q84" s="11"/>
    </row>
    <row r="85" spans="15:17" ht="12.75">
      <c r="O85" s="11"/>
      <c r="P85" s="11"/>
      <c r="Q85" s="11"/>
    </row>
    <row r="86" spans="15:17" ht="12.75">
      <c r="O86" s="11"/>
      <c r="P86" s="11"/>
      <c r="Q86" s="11"/>
    </row>
    <row r="87" spans="15:17" ht="12.75">
      <c r="O87" s="11"/>
      <c r="P87" s="11"/>
      <c r="Q87" s="11"/>
    </row>
    <row r="88" spans="15:17" ht="12.75">
      <c r="O88" s="11"/>
      <c r="P88" s="11"/>
      <c r="Q88" s="11"/>
    </row>
    <row r="89" spans="15:17" ht="12.75">
      <c r="O89" s="11"/>
      <c r="P89" s="11"/>
      <c r="Q89" s="11"/>
    </row>
  </sheetData>
  <sheetProtection password="EBAE" sheet="1"/>
  <mergeCells count="37">
    <mergeCell ref="E7:F7"/>
    <mergeCell ref="E11:F11"/>
    <mergeCell ref="E13:F13"/>
    <mergeCell ref="D31:I31"/>
    <mergeCell ref="B23:D26"/>
    <mergeCell ref="E8:F8"/>
    <mergeCell ref="E9:F9"/>
    <mergeCell ref="E10:F10"/>
    <mergeCell ref="B29:I29"/>
    <mergeCell ref="E16:F16"/>
    <mergeCell ref="E17:F17"/>
    <mergeCell ref="B33:F33"/>
    <mergeCell ref="E14:F14"/>
    <mergeCell ref="B14:D14"/>
    <mergeCell ref="E22:F22"/>
    <mergeCell ref="B31:C31"/>
    <mergeCell ref="E19:F19"/>
    <mergeCell ref="B51:F51"/>
    <mergeCell ref="D47:F47"/>
    <mergeCell ref="C37:F37"/>
    <mergeCell ref="C34:F34"/>
    <mergeCell ref="C35:F35"/>
    <mergeCell ref="C36:F36"/>
    <mergeCell ref="B46:G46"/>
    <mergeCell ref="B50:G50"/>
    <mergeCell ref="C38:F38"/>
    <mergeCell ref="C44:F44"/>
    <mergeCell ref="B56:I57"/>
    <mergeCell ref="D48:F48"/>
    <mergeCell ref="H39:I44"/>
    <mergeCell ref="B55:I55"/>
    <mergeCell ref="C47:C48"/>
    <mergeCell ref="B47:B48"/>
    <mergeCell ref="B54:I54"/>
    <mergeCell ref="B52:F52"/>
    <mergeCell ref="G47:G48"/>
    <mergeCell ref="C39:F39"/>
  </mergeCells>
  <conditionalFormatting sqref="G34:G38 E21">
    <cfRule type="cellIs" priority="9" dxfId="5" operator="notBetween" stopIfTrue="1">
      <formula>$H21</formula>
      <formula>$I21</formula>
    </cfRule>
  </conditionalFormatting>
  <conditionalFormatting sqref="G51">
    <cfRule type="cellIs" priority="10" dxfId="4" operator="notBetween" stopIfTrue="1">
      <formula>$H$51</formula>
      <formula>$I$51</formula>
    </cfRule>
  </conditionalFormatting>
  <conditionalFormatting sqref="B51:F51">
    <cfRule type="expression" priority="12" dxfId="3" stopIfTrue="1">
      <formula>$J$52=1</formula>
    </cfRule>
  </conditionalFormatting>
  <conditionalFormatting sqref="E23 H23 B23">
    <cfRule type="expression" priority="13" dxfId="2" stopIfTrue="1">
      <formula>$E$22="valor total da obra"</formula>
    </cfRule>
  </conditionalFormatting>
  <conditionalFormatting sqref="B54:I54">
    <cfRule type="expression" priority="1" dxfId="1" stopIfTrue="1">
      <formula>$G$51&gt;$I$51</formula>
    </cfRule>
  </conditionalFormatting>
  <conditionalFormatting sqref="F5">
    <cfRule type="expression" priority="19" dxfId="0" stopIfTrue="1">
      <formula>$E$6=0</formula>
    </cfRule>
  </conditionalFormatting>
  <dataValidations count="8">
    <dataValidation type="decimal" allowBlank="1" showInputMessage="1" showErrorMessage="1" sqref="E21">
      <formula1>G21</formula1>
      <formula2>H21</formula2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list" allowBlank="1" showInputMessage="1" showErrorMessage="1" sqref="D31">
      <formula1>$M$33:$M$38</formula1>
    </dataValidation>
    <dataValidation type="list" allowBlank="1" showInputMessage="1" showErrorMessage="1" sqref="E10">
      <formula1>ENCARGOS</formula1>
    </dataValidation>
    <dataValidation type="list" allowBlank="1" showInputMessage="1" showErrorMessage="1" sqref="E22">
      <formula1>BASEDECALCULO</formula1>
    </dataValidation>
    <dataValidation type="list" allowBlank="1" showInputMessage="1" showErrorMessage="1" sqref="B14:D15">
      <formula1>CREACAU</formula1>
    </dataValidation>
    <dataValidation type="list" allowBlank="1" showInputMessage="1" showErrorMessage="1" sqref="E6">
      <formula1>ente</formula1>
    </dataValidation>
    <dataValidation type="list" allowBlank="1" showInputMessage="1" showErrorMessage="1" sqref="E19">
      <formula1>regime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scale="83" r:id="rId2"/>
  <colBreaks count="1" manualBreakCount="1">
    <brk id="9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S64"/>
  <sheetViews>
    <sheetView tabSelected="1" view="pageBreakPreview" zoomScale="130" zoomScaleNormal="130" zoomScaleSheetLayoutView="130" zoomScalePageLayoutView="0" workbookViewId="0" topLeftCell="A10">
      <selection activeCell="B42" sqref="B42:D42"/>
    </sheetView>
  </sheetViews>
  <sheetFormatPr defaultColWidth="9.140625" defaultRowHeight="12.75"/>
  <cols>
    <col min="1" max="1" width="2.7109375" style="5" customWidth="1"/>
    <col min="2" max="3" width="6.00390625" style="5" customWidth="1"/>
    <col min="4" max="4" width="34.7109375" style="5" customWidth="1"/>
    <col min="5" max="5" width="11.28125" style="5" customWidth="1"/>
    <col min="6" max="6" width="11.00390625" style="6" customWidth="1"/>
    <col min="7" max="7" width="9.140625" style="5" customWidth="1"/>
    <col min="8" max="8" width="1.57421875" style="5" customWidth="1"/>
    <col min="9" max="14" width="0" style="5" hidden="1" customWidth="1"/>
    <col min="15" max="16384" width="9.140625" style="5" customWidth="1"/>
  </cols>
  <sheetData>
    <row r="1" spans="2:7" ht="31.5" customHeight="1">
      <c r="B1" s="153" t="s">
        <v>87</v>
      </c>
      <c r="C1" s="153"/>
      <c r="D1" s="153"/>
      <c r="E1" s="153"/>
      <c r="F1" s="153"/>
      <c r="G1" s="153"/>
    </row>
    <row r="2" spans="2:7" ht="24.75" customHeight="1">
      <c r="B2" s="41"/>
      <c r="C2" s="41"/>
      <c r="D2" s="41"/>
      <c r="E2" s="41"/>
      <c r="F2" s="42"/>
      <c r="G2" s="41"/>
    </row>
    <row r="3" spans="2:7" ht="73.5" customHeight="1">
      <c r="B3" s="157" t="str">
        <f>"A "&amp;PREENCHER!G6&amp;" "&amp;PREENCHER!$F$6&amp;" declara para os devidos e necessários fins que na elaboração do orçamento referente ao objeto '"&amp;PREENCHER!$E$9&amp;"', CT nº "&amp;PREENCHER!$E$8&amp;", foi adotado percentual de BDI de "&amp;E30&amp;" % (conforme planilha da composição analítica abaixo) e encargos "&amp;PREENCHER!$E$10&amp;" em conformidade com o estabelecido no SINAPI."</f>
        <v>A Prefeitura Municipal de Mato Leitão declara para os devidos e necessários fins que na elaboração do orçamento referente ao objeto ''Pavimentação de vias urbanas'', CT nº , foi adotado percentual de BDI de 23,18 % (conforme planilha da composição analítica abaixo) e encargos desonerados em conformidade com o estabelecido no SINAPI.</v>
      </c>
      <c r="C3" s="157"/>
      <c r="D3" s="157"/>
      <c r="E3" s="157"/>
      <c r="F3" s="157"/>
      <c r="G3" s="157"/>
    </row>
    <row r="4" spans="2:7" ht="34.5" customHeight="1">
      <c r="B4" s="157" t="str">
        <f>"Declaramos ainda que a alíquota de ISSQN no município é de "&amp;PREENCHER!$E$21&amp;"%, a incidir sobre o "&amp;PREENCHER!$E$22&amp;"."</f>
        <v>Declaramos ainda que a alíquota de ISSQN no município é de 3%, a incidir sobre o valor da mão de obra.</v>
      </c>
      <c r="C4" s="157"/>
      <c r="D4" s="157"/>
      <c r="E4" s="157"/>
      <c r="F4" s="157"/>
      <c r="G4" s="157"/>
    </row>
    <row r="5" spans="2:7" ht="15" customHeight="1">
      <c r="B5" s="146" t="str">
        <f>IF(PREENCHER!E22="valor total da obra","","Para a obra em questão é considerada a relação de "&amp;PREENCHER!$E$23&amp;"% é mão de obra e "&amp;100-PREENCHER!$E$23&amp;"% é material.")</f>
        <v>Para a obra em questão é considerada a relação de 30% é mão de obra e 70% é material.</v>
      </c>
      <c r="C5" s="146"/>
      <c r="D5" s="146"/>
      <c r="E5" s="146"/>
      <c r="F5" s="146"/>
      <c r="G5" s="146"/>
    </row>
    <row r="6" spans="2:7" ht="15" customHeight="1">
      <c r="B6" s="140" t="str">
        <f>"O regime de execução da obra será "&amp;PREENCHER!E19&amp;"."</f>
        <v>O regime de execução da obra será empreitada por preço global.</v>
      </c>
      <c r="C6" s="140"/>
      <c r="D6" s="140"/>
      <c r="E6" s="140"/>
      <c r="F6" s="140"/>
      <c r="G6" s="140"/>
    </row>
    <row r="7" spans="2:7" ht="33.75" customHeight="1">
      <c r="B7" s="141" t="str">
        <f>"Oportunamente, declaramos que a opção de orçamento considerando os encargos "&amp;PREENCHER!E10&amp;" é a opção mais vantajosa para a Administração Pública Municipal."</f>
        <v>Oportunamente, declaramos que a opção de orçamento considerando os encargos desonerados é a opção mais vantajosa para a Administração Pública Municipal.</v>
      </c>
      <c r="C7" s="141"/>
      <c r="D7" s="141"/>
      <c r="E7" s="141"/>
      <c r="F7" s="141"/>
      <c r="G7" s="141"/>
    </row>
    <row r="8" spans="2:15" ht="38.25" customHeight="1" thickBot="1">
      <c r="B8" s="43"/>
      <c r="C8" s="43"/>
      <c r="D8" s="43"/>
      <c r="E8" s="43"/>
      <c r="F8" s="43"/>
      <c r="G8" s="43"/>
      <c r="O8" s="60"/>
    </row>
    <row r="9" spans="2:14" ht="16.5" thickBot="1">
      <c r="B9" s="147" t="s">
        <v>77</v>
      </c>
      <c r="C9" s="148"/>
      <c r="D9" s="148"/>
      <c r="E9" s="148"/>
      <c r="F9" s="148"/>
      <c r="G9" s="149"/>
      <c r="I9" s="11"/>
      <c r="J9" s="18"/>
      <c r="K9" s="11"/>
      <c r="L9" s="11"/>
      <c r="M9" s="11"/>
      <c r="N9" s="11"/>
    </row>
    <row r="10" spans="2:14" ht="6" customHeight="1" thickBot="1">
      <c r="B10" s="41"/>
      <c r="C10" s="41"/>
      <c r="D10" s="41"/>
      <c r="E10" s="41"/>
      <c r="F10" s="42"/>
      <c r="G10" s="41"/>
      <c r="I10" s="11"/>
      <c r="J10" s="11"/>
      <c r="K10" s="11"/>
      <c r="L10" s="11"/>
      <c r="M10" s="11"/>
      <c r="N10" s="11"/>
    </row>
    <row r="11" spans="2:14" ht="24" customHeight="1" thickBot="1">
      <c r="B11" s="142" t="s">
        <v>78</v>
      </c>
      <c r="C11" s="143"/>
      <c r="D11" s="144" t="str">
        <f>PREENCHER!D31</f>
        <v>2 - Construção de Rodovias e Ferrovias</v>
      </c>
      <c r="E11" s="144"/>
      <c r="F11" s="144"/>
      <c r="G11" s="145"/>
      <c r="I11" s="11"/>
      <c r="J11" s="11"/>
      <c r="K11" s="11"/>
      <c r="L11" s="11"/>
      <c r="M11" s="11"/>
      <c r="N11" s="11"/>
    </row>
    <row r="12" spans="2:14" ht="5.25" customHeight="1" thickBot="1">
      <c r="B12" s="41"/>
      <c r="C12" s="41"/>
      <c r="D12" s="41"/>
      <c r="E12" s="41"/>
      <c r="F12" s="42"/>
      <c r="G12" s="41"/>
      <c r="I12" s="11"/>
      <c r="J12" s="11"/>
      <c r="K12" s="11"/>
      <c r="L12" s="11"/>
      <c r="M12" s="11"/>
      <c r="N12" s="11"/>
    </row>
    <row r="13" spans="2:14" ht="13.5" thickBot="1">
      <c r="B13" s="136" t="s">
        <v>9</v>
      </c>
      <c r="C13" s="137"/>
      <c r="D13" s="137"/>
      <c r="E13" s="44" t="s">
        <v>8</v>
      </c>
      <c r="F13" s="44" t="s">
        <v>66</v>
      </c>
      <c r="G13" s="45" t="s">
        <v>5</v>
      </c>
      <c r="I13" s="11"/>
      <c r="J13" s="11" t="s">
        <v>32</v>
      </c>
      <c r="K13" s="11"/>
      <c r="L13" s="11"/>
      <c r="M13" s="11" t="s">
        <v>58</v>
      </c>
      <c r="N13" s="11" t="s">
        <v>5</v>
      </c>
    </row>
    <row r="14" spans="1:14" ht="12.75">
      <c r="A14" s="11"/>
      <c r="B14" s="46" t="s">
        <v>10</v>
      </c>
      <c r="C14" s="138" t="s">
        <v>0</v>
      </c>
      <c r="D14" s="139"/>
      <c r="E14" s="47">
        <f>PREENCHER!G34</f>
        <v>3.8</v>
      </c>
      <c r="F14" s="48">
        <f>PREENCHER!H34</f>
        <v>3.8</v>
      </c>
      <c r="G14" s="48">
        <f>PREENCHER!I34</f>
        <v>4.67</v>
      </c>
      <c r="I14" s="11"/>
      <c r="J14" s="11" t="s">
        <v>33</v>
      </c>
      <c r="K14" s="11"/>
      <c r="L14" s="11" t="s">
        <v>22</v>
      </c>
      <c r="M14" s="14">
        <v>3</v>
      </c>
      <c r="N14" s="14">
        <v>5.5</v>
      </c>
    </row>
    <row r="15" spans="1:14" ht="12.75">
      <c r="A15" s="11"/>
      <c r="B15" s="49" t="s">
        <v>11</v>
      </c>
      <c r="C15" s="134" t="s">
        <v>1</v>
      </c>
      <c r="D15" s="135"/>
      <c r="E15" s="47">
        <f>PREENCHER!G35</f>
        <v>0.32</v>
      </c>
      <c r="F15" s="48">
        <f>PREENCHER!H35</f>
        <v>0.32</v>
      </c>
      <c r="G15" s="48">
        <f>PREENCHER!I35</f>
        <v>0.74</v>
      </c>
      <c r="I15" s="11"/>
      <c r="J15" s="11" t="s">
        <v>34</v>
      </c>
      <c r="K15" s="11"/>
      <c r="L15" s="11" t="s">
        <v>23</v>
      </c>
      <c r="M15" s="14">
        <v>0.8</v>
      </c>
      <c r="N15" s="14">
        <v>1</v>
      </c>
    </row>
    <row r="16" spans="1:14" ht="12.75">
      <c r="A16" s="11"/>
      <c r="B16" s="49" t="s">
        <v>12</v>
      </c>
      <c r="C16" s="134" t="s">
        <v>2</v>
      </c>
      <c r="D16" s="135"/>
      <c r="E16" s="47">
        <f>PREENCHER!G36</f>
        <v>0.5</v>
      </c>
      <c r="F16" s="48">
        <f>PREENCHER!H36</f>
        <v>0.5</v>
      </c>
      <c r="G16" s="48">
        <f>PREENCHER!I36</f>
        <v>0.97</v>
      </c>
      <c r="I16" s="11"/>
      <c r="J16" s="11" t="s">
        <v>35</v>
      </c>
      <c r="K16" s="11"/>
      <c r="L16" s="11" t="s">
        <v>24</v>
      </c>
      <c r="M16" s="14">
        <v>0.97</v>
      </c>
      <c r="N16" s="14">
        <v>1.27</v>
      </c>
    </row>
    <row r="17" spans="1:14" ht="12.75">
      <c r="A17" s="11"/>
      <c r="B17" s="49" t="s">
        <v>13</v>
      </c>
      <c r="C17" s="134" t="s">
        <v>3</v>
      </c>
      <c r="D17" s="135"/>
      <c r="E17" s="47">
        <f>PREENCHER!G37</f>
        <v>1.02</v>
      </c>
      <c r="F17" s="48">
        <f>PREENCHER!H37</f>
        <v>1.02</v>
      </c>
      <c r="G17" s="48">
        <f>PREENCHER!I37</f>
        <v>1.21</v>
      </c>
      <c r="I17" s="11"/>
      <c r="J17" s="11" t="s">
        <v>36</v>
      </c>
      <c r="K17" s="11"/>
      <c r="L17" s="11" t="s">
        <v>25</v>
      </c>
      <c r="M17" s="14">
        <v>0.59</v>
      </c>
      <c r="N17" s="14">
        <v>1.39</v>
      </c>
    </row>
    <row r="18" spans="1:14" ht="12.75">
      <c r="A18" s="11"/>
      <c r="B18" s="49" t="s">
        <v>14</v>
      </c>
      <c r="C18" s="134" t="s">
        <v>4</v>
      </c>
      <c r="D18" s="135"/>
      <c r="E18" s="47">
        <f>PREENCHER!G38</f>
        <v>6</v>
      </c>
      <c r="F18" s="48">
        <f>PREENCHER!H38</f>
        <v>6.64</v>
      </c>
      <c r="G18" s="48">
        <f>PREENCHER!I38</f>
        <v>8.69</v>
      </c>
      <c r="I18" s="11"/>
      <c r="J18" s="11" t="s">
        <v>37</v>
      </c>
      <c r="K18" s="11"/>
      <c r="L18" s="11" t="s">
        <v>26</v>
      </c>
      <c r="M18" s="14">
        <v>6.16</v>
      </c>
      <c r="N18" s="14">
        <v>8.96</v>
      </c>
    </row>
    <row r="19" spans="2:14" ht="12.75">
      <c r="B19" s="49" t="s">
        <v>15</v>
      </c>
      <c r="C19" s="134" t="s">
        <v>67</v>
      </c>
      <c r="D19" s="135"/>
      <c r="E19" s="47">
        <f>SUM(E20:E23)</f>
        <v>9.05</v>
      </c>
      <c r="F19" s="128" t="s">
        <v>6</v>
      </c>
      <c r="G19" s="129"/>
      <c r="I19" s="11"/>
      <c r="J19" s="11"/>
      <c r="K19" s="11"/>
      <c r="L19" s="11" t="s">
        <v>27</v>
      </c>
      <c r="M19" s="14">
        <v>3.8</v>
      </c>
      <c r="N19" s="14">
        <v>4.67</v>
      </c>
    </row>
    <row r="20" spans="2:19" ht="12.75">
      <c r="B20" s="49"/>
      <c r="C20" s="50"/>
      <c r="D20" s="51" t="s">
        <v>69</v>
      </c>
      <c r="E20" s="52">
        <f>PREENCHER!G40</f>
        <v>0.65</v>
      </c>
      <c r="F20" s="130"/>
      <c r="G20" s="131"/>
      <c r="I20" s="11"/>
      <c r="J20" s="11"/>
      <c r="K20" s="11"/>
      <c r="L20" s="11"/>
      <c r="M20" s="14"/>
      <c r="N20" s="14"/>
      <c r="S20" s="60"/>
    </row>
    <row r="21" spans="2:14" ht="12.75">
      <c r="B21" s="49"/>
      <c r="C21" s="50"/>
      <c r="D21" s="51" t="s">
        <v>68</v>
      </c>
      <c r="E21" s="52">
        <f>PREENCHER!G41</f>
        <v>3</v>
      </c>
      <c r="F21" s="130"/>
      <c r="G21" s="131"/>
      <c r="I21" s="11"/>
      <c r="J21" s="11"/>
      <c r="K21" s="11"/>
      <c r="L21" s="11"/>
      <c r="M21" s="14"/>
      <c r="N21" s="14"/>
    </row>
    <row r="22" spans="2:14" ht="12.75">
      <c r="B22" s="49"/>
      <c r="C22" s="50"/>
      <c r="D22" s="51" t="s">
        <v>93</v>
      </c>
      <c r="E22" s="52">
        <f>PREENCHER!G42</f>
        <v>0.9</v>
      </c>
      <c r="F22" s="130"/>
      <c r="G22" s="131"/>
      <c r="I22" s="11"/>
      <c r="J22" s="11"/>
      <c r="K22" s="11"/>
      <c r="L22" s="11"/>
      <c r="M22" s="14"/>
      <c r="N22" s="14"/>
    </row>
    <row r="23" spans="2:14" ht="12.75">
      <c r="B23" s="49"/>
      <c r="C23" s="50"/>
      <c r="D23" s="51" t="s">
        <v>74</v>
      </c>
      <c r="E23" s="52">
        <f>PREENCHER!G43</f>
        <v>4.5</v>
      </c>
      <c r="F23" s="132"/>
      <c r="G23" s="133"/>
      <c r="I23" s="11"/>
      <c r="J23" s="11"/>
      <c r="K23" s="11"/>
      <c r="L23" s="11"/>
      <c r="M23" s="14"/>
      <c r="N23" s="14"/>
    </row>
    <row r="24" spans="2:14" ht="4.5" customHeight="1" thickBot="1">
      <c r="B24" s="41"/>
      <c r="C24" s="41"/>
      <c r="D24" s="41"/>
      <c r="E24" s="41"/>
      <c r="F24" s="42"/>
      <c r="G24" s="41"/>
      <c r="I24" s="11"/>
      <c r="J24" s="11"/>
      <c r="K24" s="11"/>
      <c r="L24" s="11" t="s">
        <v>29</v>
      </c>
      <c r="M24" s="14">
        <v>0.5</v>
      </c>
      <c r="N24" s="14">
        <v>0.97</v>
      </c>
    </row>
    <row r="25" spans="2:14" ht="13.5" thickBot="1">
      <c r="B25" s="154" t="s">
        <v>19</v>
      </c>
      <c r="C25" s="155"/>
      <c r="D25" s="155"/>
      <c r="E25" s="156"/>
      <c r="F25" s="53"/>
      <c r="G25" s="41"/>
      <c r="I25" s="11"/>
      <c r="J25" s="11"/>
      <c r="K25" s="11"/>
      <c r="L25" s="11" t="s">
        <v>30</v>
      </c>
      <c r="M25" s="14">
        <v>1.02</v>
      </c>
      <c r="N25" s="14">
        <v>1.21</v>
      </c>
    </row>
    <row r="26" spans="2:14" ht="22.5" customHeight="1" thickBot="1">
      <c r="B26" s="170"/>
      <c r="C26" s="158" t="s">
        <v>17</v>
      </c>
      <c r="D26" s="54" t="s">
        <v>18</v>
      </c>
      <c r="E26" s="168">
        <v>-1</v>
      </c>
      <c r="F26" s="42"/>
      <c r="G26" s="41"/>
      <c r="I26" s="11"/>
      <c r="J26" s="11"/>
      <c r="K26" s="11"/>
      <c r="L26" s="11" t="s">
        <v>31</v>
      </c>
      <c r="M26" s="14">
        <v>6.64</v>
      </c>
      <c r="N26" s="14">
        <v>8.69</v>
      </c>
    </row>
    <row r="27" spans="2:14" ht="21" customHeight="1" thickBot="1">
      <c r="B27" s="171"/>
      <c r="C27" s="159"/>
      <c r="D27" s="55" t="s">
        <v>16</v>
      </c>
      <c r="E27" s="169"/>
      <c r="F27" s="42"/>
      <c r="G27" s="41"/>
      <c r="I27" s="11"/>
      <c r="J27" s="11"/>
      <c r="K27" s="11"/>
      <c r="L27" s="11" t="s">
        <v>38</v>
      </c>
      <c r="M27" s="14">
        <v>3.43</v>
      </c>
      <c r="N27" s="14">
        <v>6.71</v>
      </c>
    </row>
    <row r="28" spans="2:14" ht="3" customHeight="1" thickBot="1">
      <c r="B28" s="41"/>
      <c r="C28" s="41"/>
      <c r="D28" s="41"/>
      <c r="E28" s="41"/>
      <c r="F28" s="42"/>
      <c r="G28" s="41"/>
      <c r="I28" s="11"/>
      <c r="J28" s="11"/>
      <c r="K28" s="11"/>
      <c r="L28" s="11" t="s">
        <v>39</v>
      </c>
      <c r="M28" s="14">
        <v>0.28</v>
      </c>
      <c r="N28" s="14">
        <v>0.75</v>
      </c>
    </row>
    <row r="29" spans="2:14" ht="15" customHeight="1" thickBot="1">
      <c r="B29" s="163" t="s">
        <v>21</v>
      </c>
      <c r="C29" s="164"/>
      <c r="D29" s="164"/>
      <c r="E29" s="165"/>
      <c r="F29" s="161" t="str">
        <f>IF(PREENCHER!G51&gt;PREENCHER!H51,IF(PREENCHER!G51&lt;PREENCHER!I51,"De acordo com o Acórdão 2622/2013-TCU.","NÃO"),"XXX BDI FORA DOS LIMITES AC 2622/13 XXX")</f>
        <v>XXX BDI FORA DOS LIMITES AC 2622/13 XXX</v>
      </c>
      <c r="G29" s="162"/>
      <c r="I29" s="11"/>
      <c r="J29" s="11"/>
      <c r="K29" s="11"/>
      <c r="L29" s="11" t="s">
        <v>40</v>
      </c>
      <c r="M29" s="14">
        <v>1</v>
      </c>
      <c r="N29" s="14">
        <v>1.74</v>
      </c>
    </row>
    <row r="30" spans="1:14" ht="16.5" thickBot="1">
      <c r="A30" s="11"/>
      <c r="B30" s="166" t="s">
        <v>21</v>
      </c>
      <c r="C30" s="167"/>
      <c r="D30" s="167"/>
      <c r="E30" s="56">
        <f>100*ROUND((((1+E14/100+E15/100+E16/100)*(1+E17/100)*(1+E18/100))/(1-E19/100))-1,4)</f>
        <v>23.18</v>
      </c>
      <c r="F30" s="161"/>
      <c r="G30" s="162"/>
      <c r="I30" s="11"/>
      <c r="J30" s="11"/>
      <c r="K30" s="11"/>
      <c r="L30" s="11" t="s">
        <v>41</v>
      </c>
      <c r="M30" s="14">
        <v>0.94</v>
      </c>
      <c r="N30" s="14">
        <v>1.17</v>
      </c>
    </row>
    <row r="31" spans="2:14" ht="8.25" customHeight="1">
      <c r="B31" s="41"/>
      <c r="C31" s="41"/>
      <c r="D31" s="41"/>
      <c r="E31" s="41"/>
      <c r="F31" s="42"/>
      <c r="G31" s="41"/>
      <c r="I31" s="11"/>
      <c r="J31" s="11"/>
      <c r="K31" s="11"/>
      <c r="L31" s="11" t="s">
        <v>43</v>
      </c>
      <c r="M31" s="14">
        <v>5.29</v>
      </c>
      <c r="N31" s="14">
        <v>7.93</v>
      </c>
    </row>
    <row r="32" spans="2:14" ht="35.25" customHeight="1">
      <c r="B32" s="41"/>
      <c r="C32" s="41"/>
      <c r="D32" s="41"/>
      <c r="E32" s="41"/>
      <c r="F32" s="42"/>
      <c r="G32" s="41"/>
      <c r="I32" s="11"/>
      <c r="J32" s="11"/>
      <c r="K32" s="11"/>
      <c r="L32" s="11"/>
      <c r="M32" s="14"/>
      <c r="N32" s="14"/>
    </row>
    <row r="33" spans="2:14" ht="15" customHeight="1">
      <c r="B33" s="41"/>
      <c r="C33" s="41"/>
      <c r="D33" s="41"/>
      <c r="E33" s="152" t="str">
        <f>PREENCHER!E7&amp;", "&amp;TEXT(PREENCHER!E11,"dd")&amp;" de "&amp;TEXT(PREENCHER!E11,"mmmm")&amp;" de "&amp;TEXT(PREENCHER!E11,"aaaa")</f>
        <v>Mato Leitão, 11 de junho de 2019</v>
      </c>
      <c r="F33" s="152"/>
      <c r="G33" s="152"/>
      <c r="I33" s="11"/>
      <c r="J33" s="11"/>
      <c r="K33" s="11"/>
      <c r="L33" s="11"/>
      <c r="M33" s="14"/>
      <c r="N33" s="14"/>
    </row>
    <row r="34" spans="2:14" ht="34.5" customHeight="1">
      <c r="B34" s="160"/>
      <c r="C34" s="160"/>
      <c r="D34" s="160"/>
      <c r="E34" s="160"/>
      <c r="F34" s="160"/>
      <c r="G34" s="160"/>
      <c r="I34" s="11"/>
      <c r="J34" s="11"/>
      <c r="K34" s="11"/>
      <c r="L34" s="11" t="s">
        <v>44</v>
      </c>
      <c r="M34" s="14">
        <v>0.25</v>
      </c>
      <c r="N34" s="14">
        <v>0.56</v>
      </c>
    </row>
    <row r="35" spans="2:14" ht="11.25" customHeight="1">
      <c r="B35" s="57"/>
      <c r="C35" s="57"/>
      <c r="D35" s="41"/>
      <c r="E35" s="41"/>
      <c r="F35" s="42"/>
      <c r="G35" s="41"/>
      <c r="I35" s="11"/>
      <c r="J35" s="11"/>
      <c r="K35" s="11"/>
      <c r="L35" s="11" t="s">
        <v>45</v>
      </c>
      <c r="M35" s="14">
        <v>1</v>
      </c>
      <c r="N35" s="14">
        <v>1.97</v>
      </c>
    </row>
    <row r="36" spans="2:14" ht="12.75">
      <c r="B36" s="151" t="str">
        <f>PREENCHER!E13&amp;" - Responsável Técnico"</f>
        <v>Samir Marcos Battisti - Responsável Técnico</v>
      </c>
      <c r="C36" s="151"/>
      <c r="D36" s="151"/>
      <c r="E36" s="41"/>
      <c r="F36" s="42"/>
      <c r="G36" s="41"/>
      <c r="I36" s="11"/>
      <c r="J36" s="11"/>
      <c r="K36" s="11"/>
      <c r="L36" s="11" t="s">
        <v>46</v>
      </c>
      <c r="M36" s="14">
        <v>1.01</v>
      </c>
      <c r="N36" s="14">
        <v>1.11</v>
      </c>
    </row>
    <row r="37" spans="2:14" s="27" customFormat="1" ht="12.75">
      <c r="B37" s="150" t="str">
        <f>PREENCHER!B14&amp;PREENCHER!E14</f>
        <v>CREA nº104081-D-RS</v>
      </c>
      <c r="C37" s="150"/>
      <c r="D37" s="150"/>
      <c r="E37" s="58"/>
      <c r="F37" s="59"/>
      <c r="G37" s="58"/>
      <c r="I37" s="36"/>
      <c r="J37" s="36"/>
      <c r="K37" s="36"/>
      <c r="L37" s="36" t="s">
        <v>47</v>
      </c>
      <c r="M37" s="37">
        <v>8</v>
      </c>
      <c r="N37" s="37">
        <v>9.51</v>
      </c>
    </row>
    <row r="38" spans="2:14" s="27" customFormat="1" ht="12.75">
      <c r="B38" s="150"/>
      <c r="C38" s="150"/>
      <c r="D38" s="150"/>
      <c r="E38" s="58"/>
      <c r="F38" s="59"/>
      <c r="G38" s="58"/>
      <c r="I38" s="36"/>
      <c r="J38" s="36"/>
      <c r="K38" s="36"/>
      <c r="L38" s="36" t="s">
        <v>48</v>
      </c>
      <c r="M38" s="37">
        <v>4</v>
      </c>
      <c r="N38" s="37">
        <v>7.85</v>
      </c>
    </row>
    <row r="39" spans="2:14" ht="8.25" customHeight="1">
      <c r="B39" s="41"/>
      <c r="C39" s="41"/>
      <c r="D39" s="41"/>
      <c r="E39" s="41"/>
      <c r="F39" s="42"/>
      <c r="G39" s="41"/>
      <c r="I39" s="11"/>
      <c r="J39" s="11"/>
      <c r="K39" s="11"/>
      <c r="L39" s="11" t="s">
        <v>49</v>
      </c>
      <c r="M39" s="14">
        <v>0.81</v>
      </c>
      <c r="N39" s="14">
        <v>1.99</v>
      </c>
    </row>
    <row r="40" spans="2:14" ht="12.75">
      <c r="B40" s="57"/>
      <c r="C40" s="57"/>
      <c r="D40" s="41"/>
      <c r="E40" s="41"/>
      <c r="F40" s="42"/>
      <c r="G40" s="41"/>
      <c r="I40" s="11"/>
      <c r="J40" s="11"/>
      <c r="K40" s="11"/>
      <c r="L40" s="11" t="s">
        <v>50</v>
      </c>
      <c r="M40" s="14">
        <v>1.46</v>
      </c>
      <c r="N40" s="14">
        <v>3.16</v>
      </c>
    </row>
    <row r="41" spans="2:14" ht="12.75">
      <c r="B41" s="151" t="str">
        <f>PREENCHER!E16&amp;" - Prefeito"</f>
        <v>Carlos Alberto Bohn - Prefeito</v>
      </c>
      <c r="C41" s="151"/>
      <c r="D41" s="151"/>
      <c r="E41" s="41"/>
      <c r="F41" s="42"/>
      <c r="G41" s="41"/>
      <c r="I41" s="11"/>
      <c r="J41" s="11"/>
      <c r="K41" s="11"/>
      <c r="L41" s="11" t="s">
        <v>51</v>
      </c>
      <c r="M41" s="14">
        <v>0.94</v>
      </c>
      <c r="N41" s="14">
        <v>1.33</v>
      </c>
    </row>
    <row r="42" spans="2:14" ht="12.75">
      <c r="B42" s="150" t="str">
        <f>"CPF nº"&amp;PREENCHER!E17</f>
        <v>CPF nº320.794.510-49</v>
      </c>
      <c r="C42" s="150"/>
      <c r="D42" s="150"/>
      <c r="I42" s="11"/>
      <c r="J42" s="11"/>
      <c r="K42" s="11"/>
      <c r="L42" s="11" t="s">
        <v>54</v>
      </c>
      <c r="M42" s="14">
        <v>0.3</v>
      </c>
      <c r="N42" s="14">
        <v>0.82</v>
      </c>
    </row>
    <row r="43" spans="9:14" ht="12.75">
      <c r="I43" s="11"/>
      <c r="J43" s="11"/>
      <c r="K43" s="11"/>
      <c r="L43" s="11" t="s">
        <v>57</v>
      </c>
      <c r="M43" s="14">
        <v>3.5</v>
      </c>
      <c r="N43" s="14">
        <v>6.22</v>
      </c>
    </row>
    <row r="44" spans="9:14" ht="12.75">
      <c r="I44" s="11"/>
      <c r="J44" s="11"/>
      <c r="K44" s="11"/>
      <c r="L44" s="11" t="s">
        <v>59</v>
      </c>
      <c r="M44" s="14">
        <v>20.34</v>
      </c>
      <c r="N44" s="14">
        <v>25</v>
      </c>
    </row>
    <row r="45" spans="9:14" ht="12.75">
      <c r="I45" s="11"/>
      <c r="J45" s="11"/>
      <c r="K45" s="11"/>
      <c r="L45" s="11" t="s">
        <v>60</v>
      </c>
      <c r="M45" s="14">
        <v>19.6</v>
      </c>
      <c r="N45" s="14">
        <v>24.23</v>
      </c>
    </row>
    <row r="46" spans="9:14" ht="12.75">
      <c r="I46" s="11"/>
      <c r="J46" s="11"/>
      <c r="K46" s="11"/>
      <c r="L46" s="11" t="s">
        <v>61</v>
      </c>
      <c r="M46" s="14">
        <v>20.76</v>
      </c>
      <c r="N46" s="14">
        <v>26.44</v>
      </c>
    </row>
    <row r="47" spans="9:14" ht="12.75">
      <c r="I47" s="11"/>
      <c r="J47" s="11"/>
      <c r="K47" s="11"/>
      <c r="L47" s="11" t="s">
        <v>62</v>
      </c>
      <c r="M47" s="14">
        <v>24</v>
      </c>
      <c r="N47" s="14">
        <v>27.86</v>
      </c>
    </row>
    <row r="48" spans="9:14" ht="12.75">
      <c r="I48" s="11"/>
      <c r="J48" s="11"/>
      <c r="K48" s="11"/>
      <c r="L48" s="11" t="s">
        <v>63</v>
      </c>
      <c r="M48" s="14">
        <v>22.8</v>
      </c>
      <c r="N48" s="14">
        <v>30.95</v>
      </c>
    </row>
    <row r="49" spans="9:14" ht="12.75">
      <c r="I49" s="11"/>
      <c r="J49" s="11"/>
      <c r="K49" s="11"/>
      <c r="L49" s="11" t="s">
        <v>64</v>
      </c>
      <c r="M49" s="14">
        <v>11.1</v>
      </c>
      <c r="N49" s="14">
        <v>16.8</v>
      </c>
    </row>
    <row r="50" spans="9:14" ht="12.75">
      <c r="I50" s="11"/>
      <c r="J50" s="11"/>
      <c r="K50" s="11"/>
      <c r="L50" s="11"/>
      <c r="M50" s="11"/>
      <c r="N50" s="11"/>
    </row>
    <row r="51" spans="9:14" ht="12.75">
      <c r="I51" s="11"/>
      <c r="J51" s="11"/>
      <c r="K51" s="11"/>
      <c r="L51" s="11"/>
      <c r="M51" s="11"/>
      <c r="N51" s="11"/>
    </row>
    <row r="52" spans="9:14" ht="12.75">
      <c r="I52" s="11"/>
      <c r="J52" s="11"/>
      <c r="K52" s="11"/>
      <c r="L52" s="11"/>
      <c r="M52" s="11"/>
      <c r="N52" s="11"/>
    </row>
    <row r="53" spans="9:14" ht="12.75">
      <c r="I53" s="11"/>
      <c r="J53" s="11"/>
      <c r="K53" s="11"/>
      <c r="L53" s="11"/>
      <c r="M53" s="11"/>
      <c r="N53" s="11"/>
    </row>
    <row r="54" spans="9:14" ht="12.75">
      <c r="I54" s="11"/>
      <c r="J54" s="11"/>
      <c r="K54" s="11"/>
      <c r="L54" s="11"/>
      <c r="M54" s="11"/>
      <c r="N54" s="11"/>
    </row>
    <row r="55" spans="9:14" ht="12.75">
      <c r="I55" s="11"/>
      <c r="J55" s="11"/>
      <c r="K55" s="11"/>
      <c r="L55" s="11"/>
      <c r="M55" s="11"/>
      <c r="N55" s="11"/>
    </row>
    <row r="56" spans="9:14" ht="12.75">
      <c r="I56" s="11"/>
      <c r="J56" s="11"/>
      <c r="K56" s="11"/>
      <c r="L56" s="11"/>
      <c r="M56" s="11"/>
      <c r="N56" s="11"/>
    </row>
    <row r="57" spans="9:14" ht="12.75">
      <c r="I57" s="11"/>
      <c r="J57" s="11"/>
      <c r="K57" s="11"/>
      <c r="L57" s="11"/>
      <c r="M57" s="11"/>
      <c r="N57" s="11"/>
    </row>
    <row r="58" spans="9:14" ht="12.75">
      <c r="I58" s="11"/>
      <c r="J58" s="11"/>
      <c r="K58" s="11"/>
      <c r="L58" s="11"/>
      <c r="M58" s="11"/>
      <c r="N58" s="11"/>
    </row>
    <row r="59" spans="9:14" ht="12.75">
      <c r="I59" s="11"/>
      <c r="J59" s="11"/>
      <c r="K59" s="11"/>
      <c r="L59" s="11"/>
      <c r="M59" s="11"/>
      <c r="N59" s="11"/>
    </row>
    <row r="60" spans="9:14" ht="12.75">
      <c r="I60" s="11"/>
      <c r="J60" s="11"/>
      <c r="K60" s="11"/>
      <c r="L60" s="11"/>
      <c r="M60" s="11"/>
      <c r="N60" s="11"/>
    </row>
    <row r="61" spans="9:14" ht="12.75">
      <c r="I61" s="11"/>
      <c r="J61" s="11"/>
      <c r="K61" s="11"/>
      <c r="L61" s="11"/>
      <c r="M61" s="11"/>
      <c r="N61" s="11"/>
    </row>
    <row r="62" spans="9:14" ht="12.75">
      <c r="I62" s="11"/>
      <c r="J62" s="11"/>
      <c r="K62" s="11"/>
      <c r="L62" s="11"/>
      <c r="M62" s="11"/>
      <c r="N62" s="11"/>
    </row>
    <row r="63" spans="9:14" ht="12.75">
      <c r="I63" s="11"/>
      <c r="J63" s="11"/>
      <c r="K63" s="11"/>
      <c r="L63" s="11"/>
      <c r="M63" s="11"/>
      <c r="N63" s="11"/>
    </row>
    <row r="64" spans="9:14" ht="12.75">
      <c r="I64" s="11"/>
      <c r="J64" s="11"/>
      <c r="K64" s="11"/>
      <c r="L64" s="11"/>
      <c r="M64" s="11"/>
      <c r="N64" s="11"/>
    </row>
  </sheetData>
  <sheetProtection password="EBAE" sheet="1"/>
  <mergeCells count="31">
    <mergeCell ref="C26:C27"/>
    <mergeCell ref="B34:G34"/>
    <mergeCell ref="F29:G30"/>
    <mergeCell ref="B41:D41"/>
    <mergeCell ref="B29:E29"/>
    <mergeCell ref="B30:D30"/>
    <mergeCell ref="E26:E27"/>
    <mergeCell ref="B26:B27"/>
    <mergeCell ref="B42:D42"/>
    <mergeCell ref="B36:D36"/>
    <mergeCell ref="B37:D37"/>
    <mergeCell ref="B38:D38"/>
    <mergeCell ref="E33:G33"/>
    <mergeCell ref="B1:G1"/>
    <mergeCell ref="B25:E25"/>
    <mergeCell ref="C16:D16"/>
    <mergeCell ref="B3:G3"/>
    <mergeCell ref="B4:G4"/>
    <mergeCell ref="B6:G6"/>
    <mergeCell ref="B7:G7"/>
    <mergeCell ref="C17:D17"/>
    <mergeCell ref="B11:C11"/>
    <mergeCell ref="D11:G11"/>
    <mergeCell ref="B5:G5"/>
    <mergeCell ref="B9:G9"/>
    <mergeCell ref="F19:G23"/>
    <mergeCell ref="C18:D18"/>
    <mergeCell ref="C19:D19"/>
    <mergeCell ref="C15:D15"/>
    <mergeCell ref="B13:D13"/>
    <mergeCell ref="C14:D14"/>
  </mergeCells>
  <dataValidations count="2">
    <dataValidation type="decimal" allowBlank="1" showInputMessage="1" showErrorMessage="1" error="O valor inserido está fora dos limites estabelecidos pelo acórdão 2622/2013 do TCU ou é inválido." sqref="E20:E23">
      <formula1>F20</formula1>
      <formula2>G20</formula2>
    </dataValidation>
    <dataValidation allowBlank="1" showInputMessage="1" showErrorMessage="1" error="O valor inserido está fora dos limites estabelecidos pelo acórdão 2622/2013 do TCU ou é inválido." sqref="E14:E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Licitações</cp:lastModifiedBy>
  <cp:lastPrinted>2019-06-11T11:27:16Z</cp:lastPrinted>
  <dcterms:created xsi:type="dcterms:W3CDTF">1997-01-10T22:22:50Z</dcterms:created>
  <dcterms:modified xsi:type="dcterms:W3CDTF">2019-06-11T11:27:22Z</dcterms:modified>
  <cp:category/>
  <cp:version/>
  <cp:contentType/>
  <cp:contentStatus/>
</cp:coreProperties>
</file>